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65" windowWidth="18975" windowHeight="7200" firstSheet="11" activeTab="14"/>
  </bookViews>
  <sheets>
    <sheet name="Кубок Группа А (муж)" sheetId="41" r:id="rId1"/>
    <sheet name="Кубок Группа В (муж)" sheetId="44" r:id="rId2"/>
    <sheet name="Кубок А (муж)" sheetId="46" r:id="rId3"/>
    <sheet name="Кубок В (муж)" sheetId="47" r:id="rId4"/>
    <sheet name="Кубок С (муж)" sheetId="48" r:id="rId5"/>
    <sheet name="Кубок Группа (жен)" sheetId="45" r:id="rId6"/>
    <sheet name="Кубок Плей-офф (жен)" sheetId="49" r:id="rId7"/>
    <sheet name="Чемпионат ВФБ Группа А (микст)" sheetId="34" r:id="rId8"/>
    <sheet name="Чемпионат ВФБ Группа В (микст)" sheetId="50" r:id="rId9"/>
    <sheet name="Чемпионат ВФБ Кубок А (микст)" sheetId="20" r:id="rId10"/>
    <sheet name="Чемпионат ВФБ Кубок В (микст)" sheetId="19" r:id="rId11"/>
    <sheet name="Чемпионат ВФБ Кубок С (микст)" sheetId="51" r:id="rId12"/>
    <sheet name="Итоги ГП России Кубок ВФБ муж" sheetId="52" r:id="rId13"/>
    <sheet name="Итоги ГП России Кубок ВФБ жен" sheetId="53" r:id="rId14"/>
    <sheet name="Итоги ГП России Чемпионат ВФБ" sheetId="54" r:id="rId15"/>
    <sheet name="Служебный лист" sheetId="4" state="hidden" r:id="rId16"/>
  </sheets>
  <calcPr calcId="114210"/>
</workbook>
</file>

<file path=xl/calcChain.xml><?xml version="1.0" encoding="utf-8"?>
<calcChain xmlns="http://schemas.openxmlformats.org/spreadsheetml/2006/main">
  <c r="F6" i="51"/>
  <c r="J10"/>
  <c r="F14"/>
  <c r="B20"/>
  <c r="F22"/>
  <c r="B24"/>
  <c r="G4" i="50"/>
  <c r="H4"/>
  <c r="I4"/>
  <c r="J4"/>
  <c r="K4"/>
  <c r="L4"/>
  <c r="G5"/>
  <c r="H5"/>
  <c r="I5"/>
  <c r="J5"/>
  <c r="K5"/>
  <c r="L5"/>
  <c r="M4"/>
  <c r="N5"/>
  <c r="F6"/>
  <c r="H6"/>
  <c r="I6"/>
  <c r="J6"/>
  <c r="K6"/>
  <c r="L6"/>
  <c r="F7"/>
  <c r="H7"/>
  <c r="I7"/>
  <c r="J7"/>
  <c r="K7"/>
  <c r="L7"/>
  <c r="M6"/>
  <c r="N7"/>
  <c r="F8"/>
  <c r="G8"/>
  <c r="I8"/>
  <c r="J8"/>
  <c r="K8"/>
  <c r="L8"/>
  <c r="F9"/>
  <c r="G9"/>
  <c r="I9"/>
  <c r="J9"/>
  <c r="K9"/>
  <c r="L9"/>
  <c r="M8"/>
  <c r="N9"/>
  <c r="F10"/>
  <c r="G10"/>
  <c r="H10"/>
  <c r="J10"/>
  <c r="K10"/>
  <c r="L10"/>
  <c r="F11"/>
  <c r="G11"/>
  <c r="H11"/>
  <c r="J11"/>
  <c r="K11"/>
  <c r="L11"/>
  <c r="M10"/>
  <c r="N11"/>
  <c r="F12"/>
  <c r="G12"/>
  <c r="H12"/>
  <c r="I12"/>
  <c r="K12"/>
  <c r="L12"/>
  <c r="F13"/>
  <c r="G13"/>
  <c r="H13"/>
  <c r="I13"/>
  <c r="K13"/>
  <c r="L13"/>
  <c r="M12"/>
  <c r="N13"/>
  <c r="F14"/>
  <c r="G14"/>
  <c r="H14"/>
  <c r="I14"/>
  <c r="J14"/>
  <c r="L14"/>
  <c r="F15"/>
  <c r="G15"/>
  <c r="H15"/>
  <c r="I15"/>
  <c r="J15"/>
  <c r="L15"/>
  <c r="M14"/>
  <c r="N15"/>
  <c r="F16"/>
  <c r="G16"/>
  <c r="H16"/>
  <c r="I16"/>
  <c r="J16"/>
  <c r="K16"/>
  <c r="F17"/>
  <c r="G17"/>
  <c r="H17"/>
  <c r="I17"/>
  <c r="J17"/>
  <c r="K17"/>
  <c r="M16"/>
  <c r="N17"/>
  <c r="C22"/>
  <c r="H22"/>
  <c r="C23"/>
  <c r="H23"/>
  <c r="C24"/>
  <c r="H24"/>
  <c r="C27"/>
  <c r="H27"/>
  <c r="C28"/>
  <c r="H28"/>
  <c r="C29"/>
  <c r="H29"/>
  <c r="C32"/>
  <c r="H32"/>
  <c r="C33"/>
  <c r="H33"/>
  <c r="C34"/>
  <c r="H34"/>
  <c r="C37"/>
  <c r="H37"/>
  <c r="C38"/>
  <c r="H38"/>
  <c r="C39"/>
  <c r="H39"/>
  <c r="C42"/>
  <c r="H42"/>
  <c r="C43"/>
  <c r="H43"/>
  <c r="C44"/>
  <c r="H44"/>
  <c r="C47"/>
  <c r="H47"/>
  <c r="C48"/>
  <c r="H48"/>
  <c r="C49"/>
  <c r="H49"/>
  <c r="C52"/>
  <c r="H52"/>
  <c r="C53"/>
  <c r="H53"/>
  <c r="C54"/>
  <c r="H54"/>
  <c r="F7" i="49"/>
  <c r="F15"/>
  <c r="J11"/>
  <c r="B21"/>
  <c r="F23"/>
  <c r="B25"/>
  <c r="F7" i="48"/>
  <c r="F15"/>
  <c r="J11"/>
  <c r="B21"/>
  <c r="F23"/>
  <c r="B25"/>
  <c r="F7" i="47"/>
  <c r="J11"/>
  <c r="F15"/>
  <c r="B21"/>
  <c r="B25"/>
  <c r="F23"/>
  <c r="F7" i="46"/>
  <c r="F15"/>
  <c r="J11"/>
  <c r="B21"/>
  <c r="F23"/>
  <c r="B25"/>
  <c r="G4" i="45"/>
  <c r="H4"/>
  <c r="I4"/>
  <c r="J4"/>
  <c r="K4"/>
  <c r="G5"/>
  <c r="H5"/>
  <c r="I5"/>
  <c r="J5"/>
  <c r="K5"/>
  <c r="L4"/>
  <c r="M5"/>
  <c r="F6"/>
  <c r="H6"/>
  <c r="I6"/>
  <c r="J6"/>
  <c r="K6"/>
  <c r="F7"/>
  <c r="H7"/>
  <c r="I7"/>
  <c r="J7"/>
  <c r="K7"/>
  <c r="L6"/>
  <c r="M7"/>
  <c r="F8"/>
  <c r="G8"/>
  <c r="I8"/>
  <c r="J8"/>
  <c r="K8"/>
  <c r="F9"/>
  <c r="G9"/>
  <c r="I9"/>
  <c r="J9"/>
  <c r="K9"/>
  <c r="L8"/>
  <c r="M9"/>
  <c r="F10"/>
  <c r="G10"/>
  <c r="H10"/>
  <c r="J10"/>
  <c r="K10"/>
  <c r="F11"/>
  <c r="G11"/>
  <c r="H11"/>
  <c r="J11"/>
  <c r="K11"/>
  <c r="L10"/>
  <c r="M11"/>
  <c r="F12"/>
  <c r="G12"/>
  <c r="H12"/>
  <c r="I12"/>
  <c r="K12"/>
  <c r="F13"/>
  <c r="G13"/>
  <c r="H13"/>
  <c r="I13"/>
  <c r="K13"/>
  <c r="L12"/>
  <c r="M13"/>
  <c r="F14"/>
  <c r="G14"/>
  <c r="H14"/>
  <c r="I14"/>
  <c r="J14"/>
  <c r="F15"/>
  <c r="G15"/>
  <c r="H15"/>
  <c r="I15"/>
  <c r="J15"/>
  <c r="L14"/>
  <c r="M15"/>
  <c r="C20"/>
  <c r="H20"/>
  <c r="C21"/>
  <c r="H21"/>
  <c r="C22"/>
  <c r="H22"/>
  <c r="C25"/>
  <c r="H25"/>
  <c r="C26"/>
  <c r="H26"/>
  <c r="C27"/>
  <c r="H27"/>
  <c r="C30"/>
  <c r="H30"/>
  <c r="C31"/>
  <c r="H31"/>
  <c r="C32"/>
  <c r="H32"/>
  <c r="C35"/>
  <c r="H35"/>
  <c r="C36"/>
  <c r="H36"/>
  <c r="C37"/>
  <c r="H37"/>
  <c r="C40"/>
  <c r="H40"/>
  <c r="C41"/>
  <c r="H41"/>
  <c r="C42"/>
  <c r="H42"/>
  <c r="G4" i="44"/>
  <c r="H4"/>
  <c r="I4"/>
  <c r="J4"/>
  <c r="K4"/>
  <c r="G5"/>
  <c r="H5"/>
  <c r="I5"/>
  <c r="J5"/>
  <c r="K5"/>
  <c r="L4"/>
  <c r="M5"/>
  <c r="F6"/>
  <c r="H6"/>
  <c r="I6"/>
  <c r="J6"/>
  <c r="K6"/>
  <c r="F7"/>
  <c r="H7"/>
  <c r="I7"/>
  <c r="J7"/>
  <c r="K7"/>
  <c r="L6"/>
  <c r="M7"/>
  <c r="F8"/>
  <c r="G8"/>
  <c r="I8"/>
  <c r="J8"/>
  <c r="K8"/>
  <c r="F9"/>
  <c r="G9"/>
  <c r="I9"/>
  <c r="J9"/>
  <c r="K9"/>
  <c r="L8"/>
  <c r="M9"/>
  <c r="F10"/>
  <c r="G10"/>
  <c r="H10"/>
  <c r="J10"/>
  <c r="K10"/>
  <c r="F11"/>
  <c r="G11"/>
  <c r="H11"/>
  <c r="J11"/>
  <c r="K11"/>
  <c r="L10"/>
  <c r="M11"/>
  <c r="F12"/>
  <c r="G12"/>
  <c r="H12"/>
  <c r="I12"/>
  <c r="K12"/>
  <c r="F13"/>
  <c r="G13"/>
  <c r="H13"/>
  <c r="I13"/>
  <c r="K13"/>
  <c r="L12"/>
  <c r="M13"/>
  <c r="F14"/>
  <c r="G14"/>
  <c r="H14"/>
  <c r="I14"/>
  <c r="J14"/>
  <c r="F15"/>
  <c r="G15"/>
  <c r="H15"/>
  <c r="I15"/>
  <c r="J15"/>
  <c r="L14"/>
  <c r="M15"/>
  <c r="C20"/>
  <c r="H20"/>
  <c r="C21"/>
  <c r="H21"/>
  <c r="C22"/>
  <c r="H22"/>
  <c r="C25"/>
  <c r="H25"/>
  <c r="C26"/>
  <c r="H26"/>
  <c r="C27"/>
  <c r="H27"/>
  <c r="C30"/>
  <c r="H30"/>
  <c r="C31"/>
  <c r="H31"/>
  <c r="C32"/>
  <c r="H32"/>
  <c r="C35"/>
  <c r="H35"/>
  <c r="C36"/>
  <c r="H36"/>
  <c r="C37"/>
  <c r="H37"/>
  <c r="C40"/>
  <c r="H40"/>
  <c r="C41"/>
  <c r="H41"/>
  <c r="C42"/>
  <c r="H42"/>
  <c r="G4" i="41"/>
  <c r="H4"/>
  <c r="I4"/>
  <c r="J4"/>
  <c r="K4"/>
  <c r="G5"/>
  <c r="H5"/>
  <c r="I5"/>
  <c r="J5"/>
  <c r="K5"/>
  <c r="L4"/>
  <c r="M5"/>
  <c r="F6"/>
  <c r="H6"/>
  <c r="I6"/>
  <c r="J6"/>
  <c r="K6"/>
  <c r="F7"/>
  <c r="H7"/>
  <c r="I7"/>
  <c r="J7"/>
  <c r="K7"/>
  <c r="L6"/>
  <c r="M7"/>
  <c r="F8"/>
  <c r="G8"/>
  <c r="I8"/>
  <c r="J8"/>
  <c r="K8"/>
  <c r="F9"/>
  <c r="G9"/>
  <c r="I9"/>
  <c r="J9"/>
  <c r="K9"/>
  <c r="L8"/>
  <c r="M9"/>
  <c r="F10"/>
  <c r="G10"/>
  <c r="H10"/>
  <c r="J10"/>
  <c r="K10"/>
  <c r="F11"/>
  <c r="G11"/>
  <c r="H11"/>
  <c r="J11"/>
  <c r="K11"/>
  <c r="L10"/>
  <c r="M11"/>
  <c r="F12"/>
  <c r="G12"/>
  <c r="H12"/>
  <c r="I12"/>
  <c r="K12"/>
  <c r="F13"/>
  <c r="G13"/>
  <c r="H13"/>
  <c r="I13"/>
  <c r="K13"/>
  <c r="L12"/>
  <c r="M13"/>
  <c r="F14"/>
  <c r="G14"/>
  <c r="H14"/>
  <c r="I14"/>
  <c r="J14"/>
  <c r="F15"/>
  <c r="G15"/>
  <c r="H15"/>
  <c r="I15"/>
  <c r="J15"/>
  <c r="L14"/>
  <c r="M15"/>
  <c r="C20"/>
  <c r="H20"/>
  <c r="C21"/>
  <c r="H21"/>
  <c r="C22"/>
  <c r="H22"/>
  <c r="C25"/>
  <c r="H25"/>
  <c r="C26"/>
  <c r="H26"/>
  <c r="C27"/>
  <c r="H27"/>
  <c r="C30"/>
  <c r="H30"/>
  <c r="C31"/>
  <c r="H31"/>
  <c r="C32"/>
  <c r="H32"/>
  <c r="C35"/>
  <c r="H35"/>
  <c r="C36"/>
  <c r="H36"/>
  <c r="C37"/>
  <c r="H37"/>
  <c r="C40"/>
  <c r="H40"/>
  <c r="C41"/>
  <c r="H41"/>
  <c r="C42"/>
  <c r="H42"/>
  <c r="B24" i="19"/>
  <c r="B20"/>
  <c r="F22"/>
  <c r="F14"/>
  <c r="J10"/>
  <c r="F6"/>
  <c r="I25" i="4"/>
  <c r="J25"/>
  <c r="I26"/>
  <c r="J26"/>
  <c r="I27"/>
  <c r="J27"/>
  <c r="I28"/>
  <c r="J28"/>
  <c r="I30"/>
  <c r="J30"/>
  <c r="I31"/>
  <c r="J31"/>
  <c r="I32"/>
  <c r="J32"/>
  <c r="I33"/>
  <c r="J33"/>
  <c r="I34"/>
  <c r="J34"/>
  <c r="I36"/>
  <c r="J36"/>
  <c r="I37"/>
  <c r="J37"/>
  <c r="I38"/>
  <c r="J38"/>
  <c r="I39"/>
  <c r="J39"/>
  <c r="I40"/>
  <c r="J40"/>
  <c r="I42"/>
  <c r="J42"/>
  <c r="I43"/>
  <c r="J43"/>
  <c r="I44"/>
  <c r="J44"/>
  <c r="I45"/>
  <c r="J45"/>
  <c r="I46"/>
  <c r="J46"/>
  <c r="I48"/>
  <c r="J48"/>
  <c r="I49"/>
  <c r="J49"/>
  <c r="I50"/>
  <c r="J50"/>
  <c r="I51"/>
  <c r="J51"/>
  <c r="I52"/>
  <c r="J52"/>
  <c r="I54"/>
  <c r="J54"/>
  <c r="I55"/>
  <c r="J55"/>
  <c r="I56"/>
  <c r="J56"/>
  <c r="I57"/>
  <c r="J57"/>
  <c r="I58"/>
  <c r="J58"/>
  <c r="I60"/>
  <c r="J60"/>
  <c r="I61"/>
  <c r="J61"/>
  <c r="I62"/>
  <c r="J62"/>
  <c r="I63"/>
  <c r="J63"/>
  <c r="J24"/>
  <c r="I24"/>
  <c r="A8"/>
  <c r="B8"/>
  <c r="C8"/>
  <c r="D8"/>
  <c r="O8"/>
  <c r="E8"/>
  <c r="F8"/>
  <c r="G8"/>
  <c r="H8"/>
  <c r="S8"/>
  <c r="H1"/>
  <c r="H2"/>
  <c r="H3"/>
  <c r="H4"/>
  <c r="AB4"/>
  <c r="H5"/>
  <c r="H6"/>
  <c r="H7"/>
  <c r="AB17"/>
  <c r="S25"/>
  <c r="AB18"/>
  <c r="S26"/>
  <c r="O26"/>
  <c r="O25"/>
  <c r="S7"/>
  <c r="R8"/>
  <c r="AB6"/>
  <c r="AB2"/>
  <c r="Q8"/>
  <c r="M8"/>
  <c r="S3"/>
  <c r="N8"/>
  <c r="S5"/>
  <c r="S1"/>
  <c r="P8"/>
  <c r="L8"/>
  <c r="S2"/>
  <c r="S6"/>
  <c r="S4"/>
  <c r="AB7"/>
  <c r="AB5"/>
  <c r="AB3"/>
  <c r="AB1"/>
  <c r="AA8"/>
  <c r="Y8"/>
  <c r="W8"/>
  <c r="U8"/>
  <c r="AB8"/>
  <c r="Z8"/>
  <c r="X8"/>
  <c r="V8"/>
  <c r="A7"/>
  <c r="B7"/>
  <c r="M7"/>
  <c r="C7"/>
  <c r="D7"/>
  <c r="O7"/>
  <c r="E7"/>
  <c r="F7"/>
  <c r="Q7"/>
  <c r="G7"/>
  <c r="F2"/>
  <c r="G2"/>
  <c r="F3"/>
  <c r="G3"/>
  <c r="AA3"/>
  <c r="F4"/>
  <c r="G4"/>
  <c r="F5"/>
  <c r="G5"/>
  <c r="F6"/>
  <c r="G6"/>
  <c r="G1"/>
  <c r="AA1"/>
  <c r="AA6"/>
  <c r="AA5"/>
  <c r="AA4"/>
  <c r="AA2"/>
  <c r="AA7"/>
  <c r="Y7"/>
  <c r="W7"/>
  <c r="U7"/>
  <c r="R5"/>
  <c r="R3"/>
  <c r="R1"/>
  <c r="Z7"/>
  <c r="X7"/>
  <c r="V7"/>
  <c r="R7"/>
  <c r="P7"/>
  <c r="N7"/>
  <c r="L7"/>
  <c r="R6"/>
  <c r="R4"/>
  <c r="R2"/>
  <c r="Y25"/>
  <c r="AB26"/>
  <c r="I4" i="34"/>
  <c r="AB23" i="4"/>
  <c r="G16" i="34"/>
  <c r="P26" i="4"/>
  <c r="S15"/>
  <c r="K16" i="34"/>
  <c r="F16"/>
  <c r="M24" i="4"/>
  <c r="L26"/>
  <c r="F10" i="34"/>
  <c r="G4"/>
  <c r="N23" i="4"/>
  <c r="R20"/>
  <c r="Y23"/>
  <c r="N24"/>
  <c r="AA24"/>
  <c r="S12"/>
  <c r="Y26"/>
  <c r="AB22"/>
  <c r="L4" i="34"/>
  <c r="AA11" i="4"/>
  <c r="AB16"/>
  <c r="I6" i="34"/>
  <c r="X25" i="4"/>
  <c r="G14" i="34"/>
  <c r="AB21" i="4"/>
  <c r="H12" i="34"/>
  <c r="AB24" i="4"/>
  <c r="R19"/>
  <c r="R12"/>
  <c r="U24"/>
  <c r="R18"/>
  <c r="R24"/>
  <c r="F17" i="34"/>
  <c r="R13" i="4"/>
  <c r="L23"/>
  <c r="AA19"/>
  <c r="V24"/>
  <c r="H43" i="34"/>
  <c r="AA16" i="4"/>
  <c r="G17" i="34"/>
  <c r="X23" i="4"/>
  <c r="AA25"/>
  <c r="K6" i="34"/>
  <c r="N26" i="4"/>
  <c r="F12" i="34"/>
  <c r="Y24" i="4"/>
  <c r="AA13"/>
  <c r="F11" i="34"/>
  <c r="H28"/>
  <c r="H27"/>
  <c r="C29"/>
  <c r="U25" i="4"/>
  <c r="V26"/>
  <c r="F6" i="34"/>
  <c r="F7"/>
  <c r="S14" i="4"/>
  <c r="AB25"/>
  <c r="R25"/>
  <c r="Z25"/>
  <c r="X26"/>
  <c r="S18"/>
  <c r="J8" i="34"/>
  <c r="AB13" i="4"/>
  <c r="O23"/>
  <c r="H10" i="34"/>
  <c r="S23" i="4"/>
  <c r="Z23"/>
  <c r="H11" i="34"/>
  <c r="AA18" i="4"/>
  <c r="R21"/>
  <c r="I5" i="34"/>
  <c r="Q24" i="4"/>
  <c r="H6" i="34"/>
  <c r="AB11" i="4"/>
  <c r="S20"/>
  <c r="S22"/>
  <c r="K12" i="34"/>
  <c r="U26" i="4"/>
  <c r="J16" i="34"/>
  <c r="J17"/>
  <c r="F14"/>
  <c r="AA15" i="4"/>
  <c r="L25"/>
  <c r="AB19"/>
  <c r="S11"/>
  <c r="R17"/>
  <c r="R14"/>
  <c r="AA14"/>
  <c r="R16"/>
  <c r="R23"/>
  <c r="H13" i="34"/>
  <c r="W24" i="4"/>
  <c r="V23"/>
  <c r="H54" i="34"/>
  <c r="C22"/>
  <c r="C47"/>
  <c r="C42"/>
  <c r="C43"/>
  <c r="H48"/>
  <c r="K10"/>
  <c r="K4"/>
  <c r="J6"/>
  <c r="J7"/>
  <c r="Q25" i="4"/>
  <c r="L8" i="34"/>
  <c r="L9"/>
  <c r="G10"/>
  <c r="J4"/>
  <c r="J5"/>
  <c r="S21" i="4"/>
  <c r="P25"/>
  <c r="I16" i="34"/>
  <c r="J14"/>
  <c r="AA26" i="4"/>
  <c r="S24"/>
  <c r="W25"/>
  <c r="K7" i="34"/>
  <c r="AA21" i="4"/>
  <c r="AA17"/>
  <c r="R11"/>
  <c r="H38" i="34"/>
  <c r="H39"/>
  <c r="C27"/>
  <c r="C24"/>
  <c r="C34"/>
  <c r="H42"/>
  <c r="R26" i="4"/>
  <c r="O24"/>
  <c r="H14" i="34"/>
  <c r="V25" i="4"/>
  <c r="I14" i="34"/>
  <c r="I15"/>
  <c r="AA12" i="4"/>
  <c r="L12" i="34"/>
  <c r="L13"/>
  <c r="W26" i="4"/>
  <c r="M23"/>
  <c r="M26"/>
  <c r="H4" i="34"/>
  <c r="H5"/>
  <c r="S19" i="4"/>
  <c r="AB12"/>
  <c r="I8" i="34"/>
  <c r="I9"/>
  <c r="P23" i="4"/>
  <c r="R15"/>
  <c r="P24"/>
  <c r="U23"/>
  <c r="L24"/>
  <c r="G11" i="34"/>
  <c r="W23" i="4"/>
  <c r="L6" i="34"/>
  <c r="J10"/>
  <c r="Q26" i="4"/>
  <c r="S16"/>
  <c r="Q23"/>
  <c r="I12" i="34"/>
  <c r="I13"/>
  <c r="Z26" i="4"/>
  <c r="F8" i="34"/>
  <c r="M25" i="4"/>
  <c r="G8" i="34"/>
  <c r="K8"/>
  <c r="K9"/>
  <c r="G12"/>
  <c r="G13"/>
  <c r="S13" i="4"/>
  <c r="L14" i="34"/>
  <c r="AB20" i="4"/>
  <c r="N25"/>
  <c r="G15" i="34"/>
  <c r="AA22" i="4"/>
  <c r="K11" i="34"/>
  <c r="Z24" i="4"/>
  <c r="H7" i="34"/>
  <c r="F9"/>
  <c r="AA20" i="4"/>
  <c r="R22"/>
  <c r="H15" i="34"/>
  <c r="H49"/>
  <c r="H24"/>
  <c r="C49"/>
  <c r="H53"/>
  <c r="C39"/>
  <c r="H47"/>
  <c r="C33"/>
  <c r="H32"/>
  <c r="H29"/>
  <c r="H34"/>
  <c r="H37"/>
  <c r="C38"/>
  <c r="C48"/>
  <c r="L10"/>
  <c r="L11"/>
  <c r="H16"/>
  <c r="H17"/>
  <c r="S17" i="4"/>
  <c r="AB14"/>
  <c r="G5" i="34"/>
  <c r="K5"/>
  <c r="K17"/>
  <c r="AB15" i="4"/>
  <c r="K13" i="34"/>
  <c r="J9"/>
  <c r="AA23" i="4"/>
  <c r="X24"/>
  <c r="C52" i="34"/>
  <c r="C23"/>
  <c r="C32"/>
  <c r="H52"/>
  <c r="C44"/>
  <c r="H23"/>
  <c r="C53"/>
  <c r="C28"/>
  <c r="H33"/>
  <c r="H44"/>
  <c r="C37"/>
  <c r="C54"/>
  <c r="H22"/>
  <c r="R28" i="4"/>
  <c r="R39"/>
  <c r="L40"/>
  <c r="R30"/>
  <c r="R40"/>
  <c r="R33"/>
  <c r="R41"/>
  <c r="R35"/>
  <c r="R29"/>
  <c r="R31"/>
  <c r="R36"/>
  <c r="R34"/>
  <c r="N42"/>
  <c r="S28"/>
  <c r="S30"/>
  <c r="L42"/>
  <c r="N43"/>
  <c r="O42"/>
  <c r="S41"/>
  <c r="S39"/>
  <c r="M42"/>
  <c r="S37"/>
  <c r="Q40"/>
  <c r="S33"/>
  <c r="Q43"/>
  <c r="S29"/>
  <c r="Q41"/>
  <c r="P42"/>
  <c r="N41"/>
  <c r="L41"/>
  <c r="R38"/>
  <c r="P41"/>
  <c r="R32"/>
  <c r="R37"/>
  <c r="P40"/>
  <c r="N40"/>
  <c r="S38"/>
  <c r="S40"/>
  <c r="S36"/>
  <c r="O40"/>
  <c r="M43"/>
  <c r="L43"/>
  <c r="M40"/>
  <c r="S35"/>
  <c r="S34"/>
  <c r="M41"/>
  <c r="Q42"/>
  <c r="O43"/>
  <c r="R42"/>
  <c r="S32"/>
  <c r="O41"/>
  <c r="S42"/>
  <c r="P43"/>
  <c r="S31"/>
  <c r="R43"/>
  <c r="S43"/>
  <c r="L7" i="34"/>
  <c r="F15"/>
  <c r="L5"/>
  <c r="I17"/>
  <c r="L15"/>
  <c r="G9"/>
  <c r="J15"/>
  <c r="F13"/>
  <c r="J11"/>
  <c r="I7"/>
  <c r="M6"/>
  <c r="N7"/>
  <c r="N11"/>
  <c r="M10"/>
  <c r="N13"/>
  <c r="M12"/>
  <c r="M8"/>
  <c r="N9"/>
  <c r="M16"/>
  <c r="N17"/>
  <c r="M4"/>
  <c r="N5"/>
  <c r="N15"/>
  <c r="M14"/>
  <c r="F6" i="20"/>
  <c r="J10"/>
  <c r="F14"/>
  <c r="N18"/>
  <c r="F22"/>
  <c r="J26"/>
  <c r="F30"/>
  <c r="B36"/>
  <c r="F38"/>
  <c r="B40"/>
  <c r="A6" i="4"/>
  <c r="B6"/>
  <c r="C6"/>
  <c r="D6"/>
  <c r="E6"/>
  <c r="F1"/>
  <c r="A5"/>
  <c r="B5"/>
  <c r="C5"/>
  <c r="D5"/>
  <c r="E5"/>
  <c r="E1"/>
  <c r="E2"/>
  <c r="E3"/>
  <c r="E4"/>
  <c r="A4"/>
  <c r="B4"/>
  <c r="C4"/>
  <c r="D4"/>
  <c r="D1"/>
  <c r="D2"/>
  <c r="D3"/>
  <c r="Z2"/>
  <c r="Z4"/>
  <c r="Z6"/>
  <c r="V6"/>
  <c r="X6"/>
  <c r="Z1"/>
  <c r="Z3"/>
  <c r="Z5"/>
  <c r="U6"/>
  <c r="W6"/>
  <c r="Y6"/>
  <c r="Y2"/>
  <c r="Y4"/>
  <c r="U5"/>
  <c r="W5"/>
  <c r="Y1"/>
  <c r="Y3"/>
  <c r="Y5"/>
  <c r="V5"/>
  <c r="X5"/>
  <c r="O3"/>
  <c r="O2"/>
  <c r="X3"/>
  <c r="X1"/>
  <c r="W4"/>
  <c r="U4"/>
  <c r="L6"/>
  <c r="N6"/>
  <c r="P6"/>
  <c r="Q1"/>
  <c r="Q3"/>
  <c r="Q5"/>
  <c r="M6"/>
  <c r="O6"/>
  <c r="Q6"/>
  <c r="Q2"/>
  <c r="Q4"/>
  <c r="L5"/>
  <c r="N5"/>
  <c r="P5"/>
  <c r="P2"/>
  <c r="P4"/>
  <c r="M5"/>
  <c r="O5"/>
  <c r="P1"/>
  <c r="P3"/>
  <c r="M4"/>
  <c r="L4"/>
  <c r="N4"/>
  <c r="O4"/>
  <c r="O1"/>
  <c r="X2"/>
  <c r="X4"/>
  <c r="V4"/>
  <c r="X13"/>
  <c r="Q13"/>
  <c r="Y19"/>
  <c r="L20"/>
  <c r="P12"/>
  <c r="Z16"/>
  <c r="Z19"/>
  <c r="Z17"/>
  <c r="Y21"/>
  <c r="U21"/>
  <c r="N18"/>
  <c r="X11"/>
  <c r="X18"/>
  <c r="Z18"/>
  <c r="V19"/>
  <c r="N17"/>
  <c r="V22"/>
  <c r="L18"/>
  <c r="Y12"/>
  <c r="X20"/>
  <c r="V17"/>
  <c r="P18"/>
  <c r="P22"/>
  <c r="O20"/>
  <c r="Q21"/>
  <c r="X22"/>
  <c r="Y17"/>
  <c r="O22"/>
  <c r="L22"/>
  <c r="Z11"/>
  <c r="M17"/>
  <c r="O13"/>
  <c r="Z12"/>
  <c r="N19"/>
  <c r="Q12"/>
  <c r="M22"/>
  <c r="O14"/>
  <c r="O21"/>
  <c r="P15"/>
  <c r="N20"/>
  <c r="N22"/>
  <c r="X19"/>
  <c r="Q18"/>
  <c r="Z14"/>
  <c r="Y20"/>
  <c r="Q22"/>
  <c r="O19"/>
  <c r="M19"/>
  <c r="U18"/>
  <c r="W21"/>
  <c r="O11"/>
  <c r="O17"/>
  <c r="V20"/>
  <c r="W17"/>
  <c r="V18"/>
  <c r="O12"/>
  <c r="Q20"/>
  <c r="Q11"/>
  <c r="W22"/>
  <c r="P13"/>
  <c r="N21"/>
  <c r="Q15"/>
  <c r="P14"/>
  <c r="V21"/>
  <c r="Z15"/>
  <c r="Y22"/>
  <c r="Y18"/>
  <c r="W19"/>
  <c r="P17"/>
  <c r="O16"/>
  <c r="Q14"/>
  <c r="P19"/>
  <c r="U20"/>
  <c r="L19"/>
  <c r="Y15"/>
  <c r="X17"/>
  <c r="Z20"/>
  <c r="Q16"/>
  <c r="U19"/>
  <c r="M20"/>
  <c r="Y13"/>
  <c r="W18"/>
  <c r="O18"/>
  <c r="L17"/>
  <c r="Z13"/>
  <c r="P11"/>
  <c r="X14"/>
  <c r="W20"/>
  <c r="P16"/>
  <c r="O15"/>
  <c r="Z21"/>
  <c r="Y14"/>
  <c r="U17"/>
  <c r="X21"/>
  <c r="M21"/>
  <c r="Z22"/>
  <c r="P20"/>
  <c r="Y16"/>
  <c r="M18"/>
  <c r="Q19"/>
  <c r="Y11"/>
  <c r="Q17"/>
  <c r="X12"/>
  <c r="U22"/>
  <c r="P21"/>
  <c r="L21"/>
  <c r="X15"/>
  <c r="X16"/>
  <c r="Q32"/>
  <c r="P32"/>
  <c r="O37"/>
  <c r="P34"/>
  <c r="Q34"/>
  <c r="P39"/>
  <c r="L34"/>
  <c r="P37"/>
  <c r="Q38"/>
  <c r="Q29"/>
  <c r="O34"/>
  <c r="O33"/>
  <c r="Q35"/>
  <c r="O39"/>
  <c r="N35"/>
  <c r="N34"/>
  <c r="L35"/>
  <c r="M39"/>
  <c r="Q37"/>
  <c r="P30"/>
  <c r="L38"/>
  <c r="Q36"/>
  <c r="N36"/>
  <c r="Q33"/>
  <c r="O31"/>
  <c r="O35"/>
  <c r="O38"/>
  <c r="P31"/>
  <c r="P33"/>
  <c r="L36"/>
  <c r="P29"/>
  <c r="Q31"/>
  <c r="M36"/>
  <c r="O30"/>
  <c r="L37"/>
  <c r="N38"/>
  <c r="N39"/>
  <c r="M37"/>
  <c r="P36"/>
  <c r="M34"/>
  <c r="L39"/>
  <c r="P35"/>
  <c r="Q30"/>
  <c r="M35"/>
  <c r="N37"/>
  <c r="O36"/>
  <c r="O29"/>
  <c r="O32"/>
  <c r="P38"/>
  <c r="Q39"/>
  <c r="M38"/>
  <c r="O28"/>
  <c r="P28"/>
  <c r="Q28"/>
  <c r="A2"/>
  <c r="L2"/>
  <c r="B2"/>
  <c r="M2"/>
  <c r="C2"/>
  <c r="N2"/>
  <c r="A3"/>
  <c r="L3"/>
  <c r="B3"/>
  <c r="M3"/>
  <c r="C3"/>
  <c r="N3"/>
  <c r="C1"/>
  <c r="W1"/>
  <c r="A1"/>
  <c r="B1"/>
  <c r="M1"/>
  <c r="W12"/>
  <c r="M14"/>
  <c r="N15"/>
  <c r="N13"/>
  <c r="W11"/>
  <c r="M12"/>
  <c r="M15"/>
  <c r="M11"/>
  <c r="N14"/>
  <c r="M13"/>
  <c r="N16"/>
  <c r="M16"/>
  <c r="V2"/>
  <c r="L1"/>
  <c r="N1"/>
  <c r="U1"/>
  <c r="V1"/>
  <c r="V3"/>
  <c r="W2"/>
  <c r="U2"/>
  <c r="W3"/>
  <c r="U3"/>
  <c r="U15"/>
  <c r="V14"/>
  <c r="W15"/>
  <c r="L16"/>
  <c r="V13"/>
  <c r="U13"/>
  <c r="L14"/>
  <c r="V15"/>
  <c r="N11"/>
  <c r="V16"/>
  <c r="U11"/>
  <c r="U12"/>
  <c r="L15"/>
  <c r="U16"/>
  <c r="V12"/>
  <c r="W13"/>
  <c r="L12"/>
  <c r="L13"/>
  <c r="W14"/>
  <c r="U14"/>
  <c r="W16"/>
  <c r="V11"/>
  <c r="N12"/>
  <c r="L11"/>
  <c r="M32"/>
  <c r="M29"/>
  <c r="L33"/>
  <c r="L32"/>
  <c r="M31"/>
  <c r="N29"/>
  <c r="N30"/>
  <c r="L31"/>
  <c r="L30"/>
  <c r="M30"/>
  <c r="M33"/>
  <c r="N31"/>
  <c r="L29"/>
  <c r="N33"/>
  <c r="N32"/>
  <c r="M28"/>
  <c r="N28"/>
  <c r="L28"/>
</calcChain>
</file>

<file path=xl/sharedStrings.xml><?xml version="1.0" encoding="utf-8"?>
<sst xmlns="http://schemas.openxmlformats.org/spreadsheetml/2006/main" count="437" uniqueCount="124">
  <si>
    <t>Команда</t>
  </si>
  <si>
    <t>победы</t>
  </si>
  <si>
    <t>место</t>
  </si>
  <si>
    <t>доп</t>
  </si>
  <si>
    <t>Тур 1</t>
  </si>
  <si>
    <t>Тур 2</t>
  </si>
  <si>
    <t>Тур 3</t>
  </si>
  <si>
    <t/>
  </si>
  <si>
    <t>Тур 4</t>
  </si>
  <si>
    <t>Тур 5</t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</si>
  <si>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</si>
  <si>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Тур 6</t>
  </si>
  <si>
    <t>Тур 7</t>
  </si>
  <si>
    <t>Капран-Индаяти</t>
  </si>
  <si>
    <t>Анухин</t>
  </si>
  <si>
    <t>Калякин М.</t>
  </si>
  <si>
    <t>Комолов</t>
  </si>
  <si>
    <t>Колобков</t>
  </si>
  <si>
    <t>Аверьянов</t>
  </si>
  <si>
    <t>дор.1</t>
  </si>
  <si>
    <t>дор.2</t>
  </si>
  <si>
    <t>дор.3</t>
  </si>
  <si>
    <t>дор.4</t>
  </si>
  <si>
    <t>дор.5</t>
  </si>
  <si>
    <t>дор.6</t>
  </si>
  <si>
    <t>дор.7</t>
  </si>
  <si>
    <t>дор.8</t>
  </si>
  <si>
    <t>дор.9</t>
  </si>
  <si>
    <t>ОФСОО "Всероссийская федерация боулспорта"</t>
  </si>
  <si>
    <t>Главный секретарь  _____________       Л.С.Потапова</t>
  </si>
  <si>
    <t>Кубок ВФБ по боулспорту (петанк, мужчины) г.Сестрорецк, 15-16 июня 2024 года,      Группа А</t>
  </si>
  <si>
    <t>Кубок ВФБ по боулспорту (петанк, мужчины) г.Сестрорецк, 15-16 июня 2024 года,      Группа В</t>
  </si>
  <si>
    <t>Субанов</t>
  </si>
  <si>
    <t>Бацманов</t>
  </si>
  <si>
    <t>Набиулин</t>
  </si>
  <si>
    <t>Миншинин</t>
  </si>
  <si>
    <t>Калякин А.</t>
  </si>
  <si>
    <t>Дёмин</t>
  </si>
  <si>
    <t>Кубок ВФБ по боулспорту (петанк, женщины) г.Сестрорецк, 15-16 июня 2024 года</t>
  </si>
  <si>
    <t>Бархатова</t>
  </si>
  <si>
    <t>Татаринова</t>
  </si>
  <si>
    <t>Кукушкина</t>
  </si>
  <si>
    <t>Воронцова</t>
  </si>
  <si>
    <t>Королькова</t>
  </si>
  <si>
    <t>Потапова</t>
  </si>
  <si>
    <t>Кубок ВФБ по боулспорту (петанк, мужчины) г.Сестрорецк, 15-16 июня 2024 года, Кубок А</t>
  </si>
  <si>
    <t>Кубок ВФБ по боулспорту (петанк, мужчины) г.Сестрорецк, 15-16 июня 2024 года, Кубок В</t>
  </si>
  <si>
    <t>Кубок ВФБ по боулспорту (петанк, мужчины) г.Сестрорецк, 15-16 июня 2024 года, Кубок С</t>
  </si>
  <si>
    <t>Чемпионат ВФБ по боулспорту (петанк-двойка-смешанная) г.Сестрорецк, 15-16 июня 2024 года,      Группа А</t>
  </si>
  <si>
    <t>Чемпионат ВФБ по боулспорту (петанк-двойка-смешанная) г.Сестрорецк, 15-16 июня 2024 года,      Группа В</t>
  </si>
  <si>
    <t>Бацманов, Богданова</t>
  </si>
  <si>
    <t>Коновалов, Ким</t>
  </si>
  <si>
    <t>Гришин, Тотоева</t>
  </si>
  <si>
    <t>Гутников, Гермер</t>
  </si>
  <si>
    <t>Татьянц, Мыльцева</t>
  </si>
  <si>
    <t>Калякин А., Кукушкина</t>
  </si>
  <si>
    <t>Савельев, Колногорова</t>
  </si>
  <si>
    <t>2поб</t>
  </si>
  <si>
    <t>1поб</t>
  </si>
  <si>
    <t>Капран-Индаяти, Потапова</t>
  </si>
  <si>
    <t>Субанов, Воронцова</t>
  </si>
  <si>
    <t>Аверьянов, Лебедева</t>
  </si>
  <si>
    <t>Калякин М., Татаринова</t>
  </si>
  <si>
    <t>Кравчинский, Вавилова</t>
  </si>
  <si>
    <t>Аникин, Мироненко</t>
  </si>
  <si>
    <t>Анухин, Чахова</t>
  </si>
  <si>
    <t>Татьянц</t>
  </si>
  <si>
    <t>Коновалов</t>
  </si>
  <si>
    <t>Савельев</t>
  </si>
  <si>
    <t>Чемпионат ВФБ по боулспорту (петанк-двойка-смешанная) г.Сестрорецк,                          15-16 июня 2024 года, Кубок А</t>
  </si>
  <si>
    <t>Чемпионат ВФБ по боулспорту (петанк-двойка-смешанная) г.Сестрорецк,                          15-16 июня 2024 года, Кубок В</t>
  </si>
  <si>
    <t>Чемпионат ВФБ по боулспорту (петанк-двойка-смешанная) г.Сестрорецк,                          15-16 июня 2024 года, Кубок С</t>
  </si>
  <si>
    <t>Гришин</t>
  </si>
  <si>
    <t>Кравчинский</t>
  </si>
  <si>
    <t>РФСОО "Всероссийская федерация боулспорта"</t>
  </si>
  <si>
    <t>Место</t>
  </si>
  <si>
    <t>ФИО</t>
  </si>
  <si>
    <t>Регион</t>
  </si>
  <si>
    <t>Очки Гран-При России по петанку</t>
  </si>
  <si>
    <t>Краснодарский край</t>
  </si>
  <si>
    <t>Капран-Индаяти Сергей</t>
  </si>
  <si>
    <t>Ставропольский край</t>
  </si>
  <si>
    <t>ИТОГОВЫЙ ПРОТОКОЛ                                                                       Кубок ВФБ по боулспорту (петанк, мужчины), г.Сестрорецк, 16-17 июня 2024 года</t>
  </si>
  <si>
    <t>Субанов Руслан</t>
  </si>
  <si>
    <t>Анухин Виктор</t>
  </si>
  <si>
    <t>Санкт-Петербург</t>
  </si>
  <si>
    <t>Дёмин Олег</t>
  </si>
  <si>
    <t>Калякин Максим</t>
  </si>
  <si>
    <t>Миншинин Сергей</t>
  </si>
  <si>
    <t>Комолов Дмитрий</t>
  </si>
  <si>
    <t>Калякин Артемий</t>
  </si>
  <si>
    <t>Колобков Пётр</t>
  </si>
  <si>
    <t>Набиулин Ян</t>
  </si>
  <si>
    <t>Ленинградская область</t>
  </si>
  <si>
    <t>Аверьянов Алексей</t>
  </si>
  <si>
    <t>Бацманов Евгений</t>
  </si>
  <si>
    <t>Главный секретарь  ____________        Л.С.Потапова</t>
  </si>
  <si>
    <t>ИТОГОВЫЙ ПРОТОКОЛ                                                                       Кубок ВФБ по боулспорту (петанк, женщины), г.Сестрорецк, 16-17 июня 2024 года</t>
  </si>
  <si>
    <t>Татаринова Наталия</t>
  </si>
  <si>
    <t>Потапова Людмила</t>
  </si>
  <si>
    <t>Кукушкина Галина</t>
  </si>
  <si>
    <t>Волгоградская область</t>
  </si>
  <si>
    <t>Воронцова Надежда</t>
  </si>
  <si>
    <t>Королькова Екатерина</t>
  </si>
  <si>
    <t>Бархатова Александра</t>
  </si>
  <si>
    <t>Чахова Лариса</t>
  </si>
  <si>
    <t>Татьянц Дмитрий</t>
  </si>
  <si>
    <t>Мыльцева Ольга</t>
  </si>
  <si>
    <t>Савельев Александр</t>
  </si>
  <si>
    <t>Колногорова Татьяна</t>
  </si>
  <si>
    <t>Коновалов Серафим</t>
  </si>
  <si>
    <t>Ким Оксана</t>
  </si>
  <si>
    <t>Богданова Елена</t>
  </si>
  <si>
    <t>Гришин Дмитрий</t>
  </si>
  <si>
    <t>Кравчинский Игорь</t>
  </si>
  <si>
    <t>Вавилова Виола</t>
  </si>
  <si>
    <t>Лебедева Ольга</t>
  </si>
  <si>
    <t>Гутников Денис</t>
  </si>
  <si>
    <t>Гермер Жанна</t>
  </si>
  <si>
    <t>Аникин Антон</t>
  </si>
  <si>
    <t>Мироненко Татьяна</t>
  </si>
  <si>
    <t>ИТОГОВЫЙ ПРОТОКОЛ                                                                       Чемпионат ВФБ по боулспорту                                        (петанк-двойка-смешанная),                        г.Сестрорецк, 16-17 июня 2024 года</t>
  </si>
  <si>
    <t>Главный судья          ____________        С.В.Капран-Индаяти</t>
  </si>
  <si>
    <t>Тотоева Бэлла</t>
  </si>
</sst>
</file>

<file path=xl/styles.xml><?xml version="1.0" encoding="utf-8"?>
<styleSheet xmlns="http://schemas.openxmlformats.org/spreadsheetml/2006/main">
  <numFmts count="2">
    <numFmt numFmtId="164" formatCode="\+##;\-##"/>
    <numFmt numFmtId="165" formatCode="\+##;\-##;0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6"/>
      <color indexed="22"/>
      <name val="Calibri"/>
      <family val="2"/>
      <charset val="204"/>
    </font>
    <font>
      <sz val="8"/>
      <name val="Calibri"/>
      <family val="2"/>
      <charset val="204"/>
    </font>
    <font>
      <b/>
      <sz val="20"/>
      <color indexed="8"/>
      <name val="Cambria"/>
      <family val="1"/>
      <charset val="204"/>
    </font>
    <font>
      <b/>
      <sz val="16"/>
      <color indexed="8"/>
      <name val="Cambria"/>
      <family val="1"/>
      <charset val="204"/>
    </font>
    <font>
      <b/>
      <sz val="22"/>
      <color indexed="8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0" xfId="0" applyFill="1"/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5" fontId="3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164" fontId="3" fillId="2" borderId="26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164" fontId="3" fillId="0" borderId="2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65" fontId="6" fillId="0" borderId="5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6" xfId="0" applyBorder="1"/>
    <xf numFmtId="0" fontId="0" fillId="0" borderId="26" xfId="0" applyBorder="1"/>
    <xf numFmtId="0" fontId="0" fillId="0" borderId="3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1" xfId="0" applyBorder="1"/>
    <xf numFmtId="0" fontId="0" fillId="0" borderId="28" xfId="0" applyBorder="1"/>
    <xf numFmtId="0" fontId="0" fillId="0" borderId="31" xfId="0" applyBorder="1" applyAlignment="1">
      <alignment horizontal="center"/>
    </xf>
    <xf numFmtId="0" fontId="1" fillId="0" borderId="6" xfId="0" applyFont="1" applyBorder="1"/>
    <xf numFmtId="0" fontId="4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4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 wrapText="1" indent="1"/>
    </xf>
    <xf numFmtId="0" fontId="4" fillId="0" borderId="46" xfId="0" applyFont="1" applyFill="1" applyBorder="1" applyAlignment="1">
      <alignment horizontal="left" vertical="center" wrapText="1" indent="1"/>
    </xf>
    <xf numFmtId="0" fontId="4" fillId="0" borderId="47" xfId="0" applyFont="1" applyFill="1" applyBorder="1" applyAlignment="1">
      <alignment horizontal="left" vertical="center" wrapText="1" indent="1"/>
    </xf>
    <xf numFmtId="0" fontId="4" fillId="0" borderId="26" xfId="0" applyFont="1" applyFill="1" applyBorder="1" applyAlignment="1">
      <alignment horizontal="left" vertical="center" wrapText="1" indent="1"/>
    </xf>
    <xf numFmtId="0" fontId="4" fillId="0" borderId="37" xfId="0" applyFont="1" applyFill="1" applyBorder="1" applyAlignment="1">
      <alignment horizontal="left" vertical="center" wrapText="1" indent="1"/>
    </xf>
    <xf numFmtId="0" fontId="4" fillId="0" borderId="38" xfId="0" applyFont="1" applyFill="1" applyBorder="1" applyAlignment="1">
      <alignment horizontal="left" vertical="center" wrapText="1" indent="1"/>
    </xf>
    <xf numFmtId="0" fontId="4" fillId="0" borderId="4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 indent="1"/>
    </xf>
    <xf numFmtId="0" fontId="4" fillId="0" borderId="39" xfId="0" applyFont="1" applyFill="1" applyBorder="1" applyAlignment="1">
      <alignment horizontal="left" vertical="center" wrapText="1" indent="1"/>
    </xf>
    <xf numFmtId="0" fontId="4" fillId="0" borderId="40" xfId="0" applyFont="1" applyFill="1" applyBorder="1" applyAlignment="1">
      <alignment horizontal="left" vertical="center" wrapText="1" indent="1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wrapText="1" indent="1"/>
    </xf>
    <xf numFmtId="0" fontId="4" fillId="0" borderId="18" xfId="0" applyFont="1" applyFill="1" applyBorder="1" applyAlignment="1">
      <alignment horizontal="left" vertical="center" wrapText="1" indent="1"/>
    </xf>
    <xf numFmtId="0" fontId="4" fillId="0" borderId="32" xfId="0" applyFont="1" applyFill="1" applyBorder="1" applyAlignment="1">
      <alignment horizontal="left" vertical="center" wrapText="1" indent="1"/>
    </xf>
    <xf numFmtId="0" fontId="4" fillId="0" borderId="48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9"/>
  <sheetViews>
    <sheetView topLeftCell="A31" workbookViewId="0">
      <selection activeCell="C46" sqref="C46:J49"/>
    </sheetView>
  </sheetViews>
  <sheetFormatPr defaultRowHeight="15"/>
  <cols>
    <col min="1" max="1" width="4" style="30" customWidth="1"/>
    <col min="2" max="12" width="10.28515625" customWidth="1"/>
    <col min="13" max="13" width="10.28515625" style="38" customWidth="1"/>
    <col min="14" max="15" width="10.28515625" customWidth="1"/>
  </cols>
  <sheetData>
    <row r="1" spans="2:14" ht="38.25" customHeight="1">
      <c r="B1" s="82" t="s">
        <v>28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42" customHeight="1" thickBot="1">
      <c r="B2" s="83" t="s">
        <v>30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2:14" ht="30" customHeight="1" thickBot="1">
      <c r="B3" s="25"/>
      <c r="C3" s="85" t="s">
        <v>0</v>
      </c>
      <c r="D3" s="86"/>
      <c r="E3" s="87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>
      <c r="B4" s="88">
        <v>1</v>
      </c>
      <c r="C4" s="90" t="s">
        <v>13</v>
      </c>
      <c r="D4" s="91"/>
      <c r="E4" s="92"/>
      <c r="F4" s="10" t="s">
        <v>7</v>
      </c>
      <c r="G4" s="6" t="str">
        <f ca="1">INDIRECT(ADDRESS(27,6))&amp;":"&amp;INDIRECT(ADDRESS(27,7))</f>
        <v>13:5</v>
      </c>
      <c r="H4" s="6" t="str">
        <f ca="1">INDIRECT(ADDRESS(31,7))&amp;":"&amp;INDIRECT(ADDRESS(31,6))</f>
        <v>13:3</v>
      </c>
      <c r="I4" s="6" t="str">
        <f ca="1">INDIRECT(ADDRESS(36,6))&amp;":"&amp;INDIRECT(ADDRESS(36,7))</f>
        <v>12:11</v>
      </c>
      <c r="J4" s="6" t="str">
        <f ca="1">INDIRECT(ADDRESS(42,7))&amp;":"&amp;INDIRECT(ADDRESS(42,6))</f>
        <v>13:6</v>
      </c>
      <c r="K4" s="21" t="str">
        <f ca="1">INDIRECT(ADDRESS(20,6))&amp;":"&amp;INDIRECT(ADDRESS(20,7))</f>
        <v>13:3</v>
      </c>
      <c r="L4" s="96">
        <f ca="1">IF(COUNT(F5:K5)=0,"",COUNTIF(F5:K5,"&gt;0")+0.5*COUNTIF(F5:K5,0))</f>
        <v>5</v>
      </c>
      <c r="M4" s="24"/>
      <c r="N4" s="80">
        <v>1</v>
      </c>
    </row>
    <row r="5" spans="2:14" ht="24" customHeight="1">
      <c r="B5" s="89"/>
      <c r="C5" s="93"/>
      <c r="D5" s="94"/>
      <c r="E5" s="95"/>
      <c r="F5" s="14" t="s">
        <v>7</v>
      </c>
      <c r="G5" s="17">
        <f ca="1">IF(LEN(INDIRECT(ADDRESS(ROW()-1, COLUMN())))=1,"",INDIRECT(ADDRESS(27,6))-INDIRECT(ADDRESS(27,7)))</f>
        <v>8</v>
      </c>
      <c r="H5" s="17">
        <f ca="1">IF(LEN(INDIRECT(ADDRESS(ROW()-1, COLUMN())))=1,"",INDIRECT(ADDRESS(31,7))-INDIRECT(ADDRESS(31,6)))</f>
        <v>10</v>
      </c>
      <c r="I5" s="17">
        <f ca="1">IF(LEN(INDIRECT(ADDRESS(ROW()-1, COLUMN())))=1,"",INDIRECT(ADDRESS(36,6))-INDIRECT(ADDRESS(36,7)))</f>
        <v>1</v>
      </c>
      <c r="J5" s="17">
        <f ca="1">IF(LEN(INDIRECT(ADDRESS(ROW()-1, COLUMN())))=1,"",INDIRECT(ADDRESS(42,7))-INDIRECT(ADDRESS(42,6)))</f>
        <v>7</v>
      </c>
      <c r="K5" s="18">
        <f ca="1">IF(LEN(INDIRECT(ADDRESS(ROW()-1, COLUMN())))=1,"",INDIRECT(ADDRESS(20,6))-INDIRECT(ADDRESS(20,7)))</f>
        <v>10</v>
      </c>
      <c r="L5" s="97"/>
      <c r="M5" s="17">
        <f ca="1">IF(COUNT(F5:K5)=0,"",SUM(F5:K5))</f>
        <v>36</v>
      </c>
      <c r="N5" s="81"/>
    </row>
    <row r="6" spans="2:14" ht="24" customHeight="1">
      <c r="B6" s="98">
        <v>2</v>
      </c>
      <c r="C6" s="93" t="s">
        <v>14</v>
      </c>
      <c r="D6" s="94"/>
      <c r="E6" s="95"/>
      <c r="F6" s="12" t="str">
        <f ca="1">INDIRECT(ADDRESS(27,7))&amp;":"&amp;INDIRECT(ADDRESS(27,6))</f>
        <v>5:13</v>
      </c>
      <c r="G6" s="8" t="s">
        <v>7</v>
      </c>
      <c r="H6" s="7" t="str">
        <f ca="1">INDIRECT(ADDRESS(37,6))&amp;":"&amp;INDIRECT(ADDRESS(37,7))</f>
        <v>13:2</v>
      </c>
      <c r="I6" s="7" t="str">
        <f ca="1">INDIRECT(ADDRESS(41,7))&amp;":"&amp;INDIRECT(ADDRESS(41,6))</f>
        <v>13:10</v>
      </c>
      <c r="J6" s="7" t="str">
        <f ca="1">INDIRECT(ADDRESS(21,6))&amp;":"&amp;INDIRECT(ADDRESS(21,7))</f>
        <v>13:3</v>
      </c>
      <c r="K6" s="11" t="str">
        <f ca="1">INDIRECT(ADDRESS(30,6))&amp;":"&amp;INDIRECT(ADDRESS(30,7))</f>
        <v>13:2</v>
      </c>
      <c r="L6" s="97">
        <f ca="1">IF(COUNT(F7:K7)=0,"",COUNTIF(F7:K7,"&gt;0")+0.5*COUNTIF(F7:K7,0))</f>
        <v>4</v>
      </c>
      <c r="M6" s="17"/>
      <c r="N6" s="84">
        <v>2</v>
      </c>
    </row>
    <row r="7" spans="2:14" ht="24" customHeight="1">
      <c r="B7" s="89"/>
      <c r="C7" s="93"/>
      <c r="D7" s="94"/>
      <c r="E7" s="95"/>
      <c r="F7" s="23">
        <f ca="1">IF(LEN(INDIRECT(ADDRESS(ROW()-1, COLUMN())))=1,"",INDIRECT(ADDRESS(27,7))-INDIRECT(ADDRESS(27,6)))</f>
        <v>-8</v>
      </c>
      <c r="G7" s="15" t="s">
        <v>7</v>
      </c>
      <c r="H7" s="17">
        <f ca="1">IF(LEN(INDIRECT(ADDRESS(ROW()-1, COLUMN())))=1,"",INDIRECT(ADDRESS(37,6))-INDIRECT(ADDRESS(37,7)))</f>
        <v>11</v>
      </c>
      <c r="I7" s="17">
        <f ca="1">IF(LEN(INDIRECT(ADDRESS(ROW()-1, COLUMN())))=1,"",INDIRECT(ADDRESS(41,7))-INDIRECT(ADDRESS(41,6)))</f>
        <v>3</v>
      </c>
      <c r="J7" s="17">
        <f ca="1">IF(LEN(INDIRECT(ADDRESS(ROW()-1, COLUMN())))=1,"",INDIRECT(ADDRESS(21,6))-INDIRECT(ADDRESS(21,7)))</f>
        <v>10</v>
      </c>
      <c r="K7" s="18">
        <f ca="1">IF(LEN(INDIRECT(ADDRESS(ROW()-1, COLUMN())))=1,"",INDIRECT(ADDRESS(30,6))-INDIRECT(ADDRESS(30,7)))</f>
        <v>11</v>
      </c>
      <c r="L7" s="97"/>
      <c r="M7" s="17">
        <f ca="1">IF(COUNT(F7:K7)=0,"",SUM(F7:K7))</f>
        <v>27</v>
      </c>
      <c r="N7" s="81"/>
    </row>
    <row r="8" spans="2:14" ht="24" customHeight="1">
      <c r="B8" s="98">
        <v>3</v>
      </c>
      <c r="C8" s="93" t="s">
        <v>15</v>
      </c>
      <c r="D8" s="94"/>
      <c r="E8" s="95"/>
      <c r="F8" s="12" t="str">
        <f ca="1">INDIRECT(ADDRESS(31,6))&amp;":"&amp;INDIRECT(ADDRESS(31,7))</f>
        <v>3:13</v>
      </c>
      <c r="G8" s="7" t="str">
        <f ca="1">INDIRECT(ADDRESS(37,7))&amp;":"&amp;INDIRECT(ADDRESS(37,6))</f>
        <v>2:13</v>
      </c>
      <c r="H8" s="8" t="s">
        <v>7</v>
      </c>
      <c r="I8" s="7" t="str">
        <f ca="1">INDIRECT(ADDRESS(22,6))&amp;":"&amp;INDIRECT(ADDRESS(22,7))</f>
        <v>13:7</v>
      </c>
      <c r="J8" s="7" t="str">
        <f ca="1">INDIRECT(ADDRESS(26,7))&amp;":"&amp;INDIRECT(ADDRESS(26,6))</f>
        <v>13:4</v>
      </c>
      <c r="K8" s="11" t="str">
        <f ca="1">INDIRECT(ADDRESS(40,6))&amp;":"&amp;INDIRECT(ADDRESS(40,7))</f>
        <v>10:13</v>
      </c>
      <c r="L8" s="97">
        <f ca="1">IF(COUNT(F9:K9)=0,"",COUNTIF(F9:K9,"&gt;0")+0.5*COUNTIF(F9:K9,0))</f>
        <v>2</v>
      </c>
      <c r="M8" s="17">
        <v>3</v>
      </c>
      <c r="N8" s="84">
        <v>4</v>
      </c>
    </row>
    <row r="9" spans="2:14" ht="24" customHeight="1">
      <c r="B9" s="89"/>
      <c r="C9" s="93"/>
      <c r="D9" s="94"/>
      <c r="E9" s="95"/>
      <c r="F9" s="23">
        <f ca="1">IF(LEN(INDIRECT(ADDRESS(ROW()-1, COLUMN())))=1,"",INDIRECT(ADDRESS(31,6))-INDIRECT(ADDRESS(31,7)))</f>
        <v>-10</v>
      </c>
      <c r="G9" s="17">
        <f ca="1">IF(LEN(INDIRECT(ADDRESS(ROW()-1, COLUMN())))=1,"",INDIRECT(ADDRESS(37,7))-INDIRECT(ADDRESS(37,6)))</f>
        <v>-11</v>
      </c>
      <c r="H9" s="15" t="s">
        <v>7</v>
      </c>
      <c r="I9" s="17">
        <f ca="1">IF(LEN(INDIRECT(ADDRESS(ROW()-1, COLUMN())))=1,"",INDIRECT(ADDRESS(22,6))-INDIRECT(ADDRESS(22,7)))</f>
        <v>6</v>
      </c>
      <c r="J9" s="17">
        <f ca="1">IF(LEN(INDIRECT(ADDRESS(ROW()-1, COLUMN())))=1,"",INDIRECT(ADDRESS(26,7))-INDIRECT(ADDRESS(26,6)))</f>
        <v>9</v>
      </c>
      <c r="K9" s="18">
        <f ca="1">IF(LEN(INDIRECT(ADDRESS(ROW()-1, COLUMN())))=1,"",INDIRECT(ADDRESS(40,6))-INDIRECT(ADDRESS(40,7)))</f>
        <v>-3</v>
      </c>
      <c r="L9" s="97"/>
      <c r="M9" s="17">
        <f ca="1">IF(COUNT(F9:K9)=0,"",SUM(F9:K9))</f>
        <v>-9</v>
      </c>
      <c r="N9" s="81"/>
    </row>
    <row r="10" spans="2:14" ht="24" customHeight="1">
      <c r="B10" s="98">
        <v>4</v>
      </c>
      <c r="C10" s="93" t="s">
        <v>16</v>
      </c>
      <c r="D10" s="94"/>
      <c r="E10" s="95"/>
      <c r="F10" s="12" t="str">
        <f ca="1">INDIRECT(ADDRESS(36,7))&amp;":"&amp;INDIRECT(ADDRESS(36,6))</f>
        <v>11:12</v>
      </c>
      <c r="G10" s="7" t="str">
        <f ca="1">INDIRECT(ADDRESS(41,6))&amp;":"&amp;INDIRECT(ADDRESS(41,7))</f>
        <v>10:13</v>
      </c>
      <c r="H10" s="7" t="str">
        <f ca="1">INDIRECT(ADDRESS(22,7))&amp;":"&amp;INDIRECT(ADDRESS(22,6))</f>
        <v>7:13</v>
      </c>
      <c r="I10" s="8" t="s">
        <v>7</v>
      </c>
      <c r="J10" s="7" t="str">
        <f ca="1">INDIRECT(ADDRESS(32,6))&amp;":"&amp;INDIRECT(ADDRESS(32,7))</f>
        <v>13:7</v>
      </c>
      <c r="K10" s="11" t="str">
        <f ca="1">INDIRECT(ADDRESS(25,7))&amp;":"&amp;INDIRECT(ADDRESS(25,6))</f>
        <v>13:2</v>
      </c>
      <c r="L10" s="97">
        <f ca="1">IF(COUNT(F11:K11)=0,"",COUNTIF(F11:K11,"&gt;0")+0.5*COUNTIF(F11:K11,0))</f>
        <v>2</v>
      </c>
      <c r="M10" s="17">
        <v>5</v>
      </c>
      <c r="N10" s="84">
        <v>3</v>
      </c>
    </row>
    <row r="11" spans="2:14" ht="24" customHeight="1">
      <c r="B11" s="89"/>
      <c r="C11" s="93"/>
      <c r="D11" s="94"/>
      <c r="E11" s="95"/>
      <c r="F11" s="23">
        <f ca="1">IF(LEN(INDIRECT(ADDRESS(ROW()-1, COLUMN())))=1,"",INDIRECT(ADDRESS(36,7))-INDIRECT(ADDRESS(36,6)))</f>
        <v>-1</v>
      </c>
      <c r="G11" s="17">
        <f ca="1">IF(LEN(INDIRECT(ADDRESS(ROW()-1, COLUMN())))=1,"",INDIRECT(ADDRESS(41,6))-INDIRECT(ADDRESS(41,7)))</f>
        <v>-3</v>
      </c>
      <c r="H11" s="17">
        <f ca="1">IF(LEN(INDIRECT(ADDRESS(ROW()-1, COLUMN())))=1,"",INDIRECT(ADDRESS(22,7))-INDIRECT(ADDRESS(22,6)))</f>
        <v>-6</v>
      </c>
      <c r="I11" s="15" t="s">
        <v>7</v>
      </c>
      <c r="J11" s="17">
        <f ca="1">IF(LEN(INDIRECT(ADDRESS(ROW()-1, COLUMN())))=1,"",INDIRECT(ADDRESS(32,6))-INDIRECT(ADDRESS(32,7)))</f>
        <v>6</v>
      </c>
      <c r="K11" s="18">
        <f ca="1">IF(LEN(INDIRECT(ADDRESS(ROW()-1, COLUMN())))=1,"",INDIRECT(ADDRESS(25,7))-INDIRECT(ADDRESS(25,6)))</f>
        <v>11</v>
      </c>
      <c r="L11" s="97"/>
      <c r="M11" s="17">
        <f ca="1">IF(COUNT(F11:K11)=0,"",SUM(F11:K11))</f>
        <v>7</v>
      </c>
      <c r="N11" s="81"/>
    </row>
    <row r="12" spans="2:14" ht="24" customHeight="1">
      <c r="B12" s="98">
        <v>5</v>
      </c>
      <c r="C12" s="93" t="s">
        <v>17</v>
      </c>
      <c r="D12" s="94"/>
      <c r="E12" s="95"/>
      <c r="F12" s="12" t="str">
        <f ca="1">INDIRECT(ADDRESS(42,6))&amp;":"&amp;INDIRECT(ADDRESS(42,7))</f>
        <v>6:13</v>
      </c>
      <c r="G12" s="7" t="str">
        <f ca="1">INDIRECT(ADDRESS(21,7))&amp;":"&amp;INDIRECT(ADDRESS(21,6))</f>
        <v>3:13</v>
      </c>
      <c r="H12" s="7" t="str">
        <f ca="1">INDIRECT(ADDRESS(26,6))&amp;":"&amp;INDIRECT(ADDRESS(26,7))</f>
        <v>4:13</v>
      </c>
      <c r="I12" s="7" t="str">
        <f ca="1">INDIRECT(ADDRESS(32,7))&amp;":"&amp;INDIRECT(ADDRESS(32,6))</f>
        <v>7:13</v>
      </c>
      <c r="J12" s="8" t="s">
        <v>7</v>
      </c>
      <c r="K12" s="11" t="str">
        <f ca="1">INDIRECT(ADDRESS(35,7))&amp;":"&amp;INDIRECT(ADDRESS(35,6))</f>
        <v>6:13</v>
      </c>
      <c r="L12" s="97">
        <f ca="1">IF(COUNT(F13:K13)=0,"",COUNTIF(F13:K13,"&gt;0")+0.5*COUNTIF(F13:K13,0))</f>
        <v>0</v>
      </c>
      <c r="M12" s="17"/>
      <c r="N12" s="84">
        <v>6</v>
      </c>
    </row>
    <row r="13" spans="2:14" ht="24" customHeight="1">
      <c r="B13" s="89"/>
      <c r="C13" s="93"/>
      <c r="D13" s="94"/>
      <c r="E13" s="95"/>
      <c r="F13" s="23">
        <f ca="1">IF(LEN(INDIRECT(ADDRESS(ROW()-1, COLUMN())))=1,"",INDIRECT(ADDRESS(42,6))-INDIRECT(ADDRESS(42,7)))</f>
        <v>-7</v>
      </c>
      <c r="G13" s="17">
        <f ca="1">IF(LEN(INDIRECT(ADDRESS(ROW()-1, COLUMN())))=1,"",INDIRECT(ADDRESS(21,7))-INDIRECT(ADDRESS(21,6)))</f>
        <v>-10</v>
      </c>
      <c r="H13" s="17">
        <f ca="1">IF(LEN(INDIRECT(ADDRESS(ROW()-1, COLUMN())))=1,"",INDIRECT(ADDRESS(26,6))-INDIRECT(ADDRESS(26,7)))</f>
        <v>-9</v>
      </c>
      <c r="I13" s="17">
        <f ca="1">IF(LEN(INDIRECT(ADDRESS(ROW()-1, COLUMN())))=1,"",INDIRECT(ADDRESS(32,7))-INDIRECT(ADDRESS(32,6)))</f>
        <v>-6</v>
      </c>
      <c r="J13" s="15" t="s">
        <v>7</v>
      </c>
      <c r="K13" s="18">
        <f ca="1">IF(LEN(INDIRECT(ADDRESS(ROW()-1, COLUMN())))=1,"",INDIRECT(ADDRESS(35,7))-INDIRECT(ADDRESS(35,6)))</f>
        <v>-7</v>
      </c>
      <c r="L13" s="97"/>
      <c r="M13" s="17">
        <f ca="1">IF(COUNT(F13:K13)=0,"",SUM(F13:K13))</f>
        <v>-39</v>
      </c>
      <c r="N13" s="81"/>
    </row>
    <row r="14" spans="2:14" ht="24" customHeight="1">
      <c r="B14" s="98">
        <v>6</v>
      </c>
      <c r="C14" s="93" t="s">
        <v>18</v>
      </c>
      <c r="D14" s="94"/>
      <c r="E14" s="95"/>
      <c r="F14" s="12" t="str">
        <f ca="1">INDIRECT(ADDRESS(20,7))&amp;":"&amp;INDIRECT(ADDRESS(20,6))</f>
        <v>3:13</v>
      </c>
      <c r="G14" s="7" t="str">
        <f ca="1">INDIRECT(ADDRESS(30,7))&amp;":"&amp;INDIRECT(ADDRESS(30,6))</f>
        <v>2:13</v>
      </c>
      <c r="H14" s="7" t="str">
        <f ca="1">INDIRECT(ADDRESS(40,7))&amp;":"&amp;INDIRECT(ADDRESS(40,6))</f>
        <v>13:10</v>
      </c>
      <c r="I14" s="7" t="str">
        <f ca="1">INDIRECT(ADDRESS(25,6))&amp;":"&amp;INDIRECT(ADDRESS(25,7))</f>
        <v>2:13</v>
      </c>
      <c r="J14" s="7" t="str">
        <f ca="1">INDIRECT(ADDRESS(35,6))&amp;":"&amp;INDIRECT(ADDRESS(35,7))</f>
        <v>13:6</v>
      </c>
      <c r="K14" s="13" t="s">
        <v>7</v>
      </c>
      <c r="L14" s="97">
        <f ca="1">IF(COUNT(F15:K15)=0,"",COUNTIF(F15:K15,"&gt;0")+0.5*COUNTIF(F15:K15,0))</f>
        <v>2</v>
      </c>
      <c r="M14" s="17">
        <v>-8</v>
      </c>
      <c r="N14" s="84">
        <v>5</v>
      </c>
    </row>
    <row r="15" spans="2:14" ht="24" customHeight="1" thickBot="1">
      <c r="B15" s="103"/>
      <c r="C15" s="104"/>
      <c r="D15" s="105"/>
      <c r="E15" s="106"/>
      <c r="F15" s="20">
        <f ca="1">IF(LEN(INDIRECT(ADDRESS(ROW()-1, COLUMN())))=1,"",INDIRECT(ADDRESS(20,7))-INDIRECT(ADDRESS(20,6)))</f>
        <v>-10</v>
      </c>
      <c r="G15" s="19">
        <f ca="1">IF(LEN(INDIRECT(ADDRESS(ROW()-1, COLUMN())))=1,"",INDIRECT(ADDRESS(30,7))-INDIRECT(ADDRESS(30,6)))</f>
        <v>-11</v>
      </c>
      <c r="H15" s="19">
        <f ca="1">IF(LEN(INDIRECT(ADDRESS(ROW()-1, COLUMN())))=1,"",INDIRECT(ADDRESS(40,7))-INDIRECT(ADDRESS(40,6)))</f>
        <v>3</v>
      </c>
      <c r="I15" s="19">
        <f ca="1">IF(LEN(INDIRECT(ADDRESS(ROW()-1, COLUMN())))=1,"",INDIRECT(ADDRESS(25,6))-INDIRECT(ADDRESS(25,7)))</f>
        <v>-11</v>
      </c>
      <c r="J15" s="19">
        <f ca="1">IF(LEN(INDIRECT(ADDRESS(ROW()-1, COLUMN())))=1,"",INDIRECT(ADDRESS(35,6))-INDIRECT(ADDRESS(35,7)))</f>
        <v>7</v>
      </c>
      <c r="K15" s="16" t="s">
        <v>7</v>
      </c>
      <c r="L15" s="107"/>
      <c r="M15" s="19">
        <f ca="1">IF(COUNT(F15:K15)=0,"",SUM(F15:K15))</f>
        <v>-22</v>
      </c>
      <c r="N15" s="108"/>
    </row>
    <row r="16" spans="2:14">
      <c r="M16"/>
    </row>
    <row r="17" spans="1:13">
      <c r="M17"/>
    </row>
    <row r="18" spans="1:13">
      <c r="M18"/>
    </row>
    <row r="19" spans="1:13" s="55" customFormat="1" ht="30" customHeight="1" thickBot="1">
      <c r="A19" s="54"/>
      <c r="B19" s="99" t="s">
        <v>4</v>
      </c>
      <c r="C19" s="99"/>
      <c r="D19" s="99"/>
      <c r="E19" s="99"/>
      <c r="F19" s="99"/>
      <c r="G19" s="99"/>
      <c r="H19" s="99"/>
      <c r="I19" s="99"/>
      <c r="J19" s="99"/>
      <c r="K19" s="99"/>
    </row>
    <row r="20" spans="1:13" s="55" customFormat="1" ht="30" customHeight="1" thickBot="1">
      <c r="A20" s="54"/>
      <c r="B20" s="59">
        <v>1</v>
      </c>
      <c r="C20" s="100" t="str">
        <f ca="1">IF(ISBLANK(INDIRECT(ADDRESS(B20*2+2,3))),"",INDIRECT(ADDRESS(B20*2+2,3)))</f>
        <v>Капран-Индаяти</v>
      </c>
      <c r="D20" s="100"/>
      <c r="E20" s="101"/>
      <c r="F20" s="56">
        <v>13</v>
      </c>
      <c r="G20" s="57">
        <v>3</v>
      </c>
      <c r="H20" s="102" t="str">
        <f ca="1">IF(ISBLANK(INDIRECT(ADDRESS(K20*2+2,3))),"",INDIRECT(ADDRESS(K20*2+2,3)))</f>
        <v>Аверьянов</v>
      </c>
      <c r="I20" s="100"/>
      <c r="J20" s="100"/>
      <c r="K20" s="59">
        <v>6</v>
      </c>
      <c r="L20" s="58" t="s">
        <v>19</v>
      </c>
      <c r="M20" s="53"/>
    </row>
    <row r="21" spans="1:13" s="55" customFormat="1" ht="30" customHeight="1" thickBot="1">
      <c r="A21" s="54"/>
      <c r="B21" s="59">
        <v>2</v>
      </c>
      <c r="C21" s="100" t="str">
        <f ca="1">IF(ISBLANK(INDIRECT(ADDRESS(B21*2+2,3))),"",INDIRECT(ADDRESS(B21*2+2,3)))</f>
        <v>Анухин</v>
      </c>
      <c r="D21" s="100"/>
      <c r="E21" s="101"/>
      <c r="F21" s="56">
        <v>13</v>
      </c>
      <c r="G21" s="57">
        <v>3</v>
      </c>
      <c r="H21" s="102" t="str">
        <f ca="1">IF(ISBLANK(INDIRECT(ADDRESS(K21*2+2,3))),"",INDIRECT(ADDRESS(K21*2+2,3)))</f>
        <v>Колобков</v>
      </c>
      <c r="I21" s="100"/>
      <c r="J21" s="100"/>
      <c r="K21" s="59">
        <v>5</v>
      </c>
      <c r="L21" s="58" t="s">
        <v>20</v>
      </c>
      <c r="M21" s="53"/>
    </row>
    <row r="22" spans="1:13" s="55" customFormat="1" ht="30" customHeight="1" thickBot="1">
      <c r="A22" s="54"/>
      <c r="B22" s="59">
        <v>3</v>
      </c>
      <c r="C22" s="100" t="str">
        <f ca="1">IF(ISBLANK(INDIRECT(ADDRESS(B22*2+2,3))),"",INDIRECT(ADDRESS(B22*2+2,3)))</f>
        <v>Калякин М.</v>
      </c>
      <c r="D22" s="100"/>
      <c r="E22" s="101"/>
      <c r="F22" s="56">
        <v>13</v>
      </c>
      <c r="G22" s="57">
        <v>7</v>
      </c>
      <c r="H22" s="102" t="str">
        <f ca="1">IF(ISBLANK(INDIRECT(ADDRESS(K22*2+2,3))),"",INDIRECT(ADDRESS(K22*2+2,3)))</f>
        <v>Комолов</v>
      </c>
      <c r="I22" s="100"/>
      <c r="J22" s="100"/>
      <c r="K22" s="59">
        <v>4</v>
      </c>
      <c r="L22" s="58" t="s">
        <v>21</v>
      </c>
      <c r="M22" s="53"/>
    </row>
    <row r="23" spans="1:13" s="55" customFormat="1" ht="30" customHeight="1">
      <c r="A23" s="54"/>
      <c r="M23" s="60"/>
    </row>
    <row r="24" spans="1:13" s="55" customFormat="1" ht="30" customHeight="1" thickBot="1">
      <c r="A24" s="54"/>
      <c r="B24" s="99" t="s">
        <v>5</v>
      </c>
      <c r="C24" s="99"/>
      <c r="D24" s="99"/>
      <c r="E24" s="99"/>
      <c r="F24" s="99"/>
      <c r="G24" s="99"/>
      <c r="H24" s="99"/>
      <c r="I24" s="99"/>
      <c r="J24" s="99"/>
      <c r="K24" s="99"/>
      <c r="M24" s="60"/>
    </row>
    <row r="25" spans="1:13" s="55" customFormat="1" ht="30" customHeight="1" thickBot="1">
      <c r="A25" s="54"/>
      <c r="B25" s="59">
        <v>6</v>
      </c>
      <c r="C25" s="100" t="str">
        <f ca="1">IF(ISBLANK(INDIRECT(ADDRESS(B25*2+2,3))),"",INDIRECT(ADDRESS(B25*2+2,3)))</f>
        <v>Аверьянов</v>
      </c>
      <c r="D25" s="100"/>
      <c r="E25" s="101"/>
      <c r="F25" s="56">
        <v>2</v>
      </c>
      <c r="G25" s="57">
        <v>13</v>
      </c>
      <c r="H25" s="102" t="str">
        <f ca="1">IF(ISBLANK(INDIRECT(ADDRESS(K25*2+2,3))),"",INDIRECT(ADDRESS(K25*2+2,3)))</f>
        <v>Комолов</v>
      </c>
      <c r="I25" s="100"/>
      <c r="J25" s="100"/>
      <c r="K25" s="59">
        <v>4</v>
      </c>
      <c r="L25" s="58" t="s">
        <v>22</v>
      </c>
      <c r="M25" s="53"/>
    </row>
    <row r="26" spans="1:13" s="55" customFormat="1" ht="30" customHeight="1" thickBot="1">
      <c r="A26" s="54"/>
      <c r="B26" s="59">
        <v>5</v>
      </c>
      <c r="C26" s="100" t="str">
        <f ca="1">IF(ISBLANK(INDIRECT(ADDRESS(B26*2+2,3))),"",INDIRECT(ADDRESS(B26*2+2,3)))</f>
        <v>Колобков</v>
      </c>
      <c r="D26" s="100"/>
      <c r="E26" s="101"/>
      <c r="F26" s="56">
        <v>4</v>
      </c>
      <c r="G26" s="57">
        <v>13</v>
      </c>
      <c r="H26" s="102" t="str">
        <f ca="1">IF(ISBLANK(INDIRECT(ADDRESS(K26*2+2,3))),"",INDIRECT(ADDRESS(K26*2+2,3)))</f>
        <v>Калякин М.</v>
      </c>
      <c r="I26" s="100"/>
      <c r="J26" s="100"/>
      <c r="K26" s="59">
        <v>3</v>
      </c>
      <c r="L26" s="58" t="s">
        <v>23</v>
      </c>
      <c r="M26" s="53"/>
    </row>
    <row r="27" spans="1:13" s="55" customFormat="1" ht="30" customHeight="1" thickBot="1">
      <c r="A27" s="54"/>
      <c r="B27" s="59">
        <v>1</v>
      </c>
      <c r="C27" s="100" t="str">
        <f ca="1">IF(ISBLANK(INDIRECT(ADDRESS(B27*2+2,3))),"",INDIRECT(ADDRESS(B27*2+2,3)))</f>
        <v>Капран-Индаяти</v>
      </c>
      <c r="D27" s="100"/>
      <c r="E27" s="101"/>
      <c r="F27" s="56">
        <v>13</v>
      </c>
      <c r="G27" s="57">
        <v>5</v>
      </c>
      <c r="H27" s="102" t="str">
        <f ca="1">IF(ISBLANK(INDIRECT(ADDRESS(K27*2+2,3))),"",INDIRECT(ADDRESS(K27*2+2,3)))</f>
        <v>Анухин</v>
      </c>
      <c r="I27" s="100"/>
      <c r="J27" s="100"/>
      <c r="K27" s="59">
        <v>2</v>
      </c>
      <c r="L27" s="58" t="s">
        <v>24</v>
      </c>
      <c r="M27" s="53"/>
    </row>
    <row r="28" spans="1:13" s="55" customFormat="1" ht="30" customHeight="1">
      <c r="A28" s="54"/>
      <c r="M28" s="60"/>
    </row>
    <row r="29" spans="1:13" s="55" customFormat="1" ht="30" customHeight="1" thickBot="1">
      <c r="A29" s="54"/>
      <c r="B29" s="99" t="s">
        <v>6</v>
      </c>
      <c r="C29" s="99"/>
      <c r="D29" s="99"/>
      <c r="E29" s="99"/>
      <c r="F29" s="99"/>
      <c r="G29" s="99"/>
      <c r="H29" s="99"/>
      <c r="I29" s="99"/>
      <c r="J29" s="99"/>
      <c r="K29" s="99"/>
      <c r="M29" s="60"/>
    </row>
    <row r="30" spans="1:13" s="55" customFormat="1" ht="30" customHeight="1" thickBot="1">
      <c r="A30" s="54"/>
      <c r="B30" s="59">
        <v>2</v>
      </c>
      <c r="C30" s="100" t="str">
        <f ca="1">IF(ISBLANK(INDIRECT(ADDRESS(B30*2+2,3))),"",INDIRECT(ADDRESS(B30*2+2,3)))</f>
        <v>Анухин</v>
      </c>
      <c r="D30" s="100"/>
      <c r="E30" s="101"/>
      <c r="F30" s="56">
        <v>13</v>
      </c>
      <c r="G30" s="57">
        <v>2</v>
      </c>
      <c r="H30" s="102" t="str">
        <f ca="1">IF(ISBLANK(INDIRECT(ADDRESS(K30*2+2,3))),"",INDIRECT(ADDRESS(K30*2+2,3)))</f>
        <v>Аверьянов</v>
      </c>
      <c r="I30" s="100"/>
      <c r="J30" s="100"/>
      <c r="K30" s="59">
        <v>6</v>
      </c>
      <c r="L30" s="58" t="s">
        <v>25</v>
      </c>
      <c r="M30" s="53"/>
    </row>
    <row r="31" spans="1:13" s="55" customFormat="1" ht="30" customHeight="1" thickBot="1">
      <c r="A31" s="54"/>
      <c r="B31" s="59">
        <v>3</v>
      </c>
      <c r="C31" s="100" t="str">
        <f ca="1">IF(ISBLANK(INDIRECT(ADDRESS(B31*2+2,3))),"",INDIRECT(ADDRESS(B31*2+2,3)))</f>
        <v>Калякин М.</v>
      </c>
      <c r="D31" s="100"/>
      <c r="E31" s="101"/>
      <c r="F31" s="56">
        <v>3</v>
      </c>
      <c r="G31" s="57">
        <v>13</v>
      </c>
      <c r="H31" s="102" t="str">
        <f ca="1">IF(ISBLANK(INDIRECT(ADDRESS(K31*2+2,3))),"",INDIRECT(ADDRESS(K31*2+2,3)))</f>
        <v>Капран-Индаяти</v>
      </c>
      <c r="I31" s="100"/>
      <c r="J31" s="100"/>
      <c r="K31" s="59">
        <v>1</v>
      </c>
      <c r="L31" s="58" t="s">
        <v>26</v>
      </c>
      <c r="M31" s="53"/>
    </row>
    <row r="32" spans="1:13" s="55" customFormat="1" ht="30" customHeight="1" thickBot="1">
      <c r="A32" s="54"/>
      <c r="B32" s="59">
        <v>4</v>
      </c>
      <c r="C32" s="100" t="str">
        <f ca="1">IF(ISBLANK(INDIRECT(ADDRESS(B32*2+2,3))),"",INDIRECT(ADDRESS(B32*2+2,3)))</f>
        <v>Комолов</v>
      </c>
      <c r="D32" s="100"/>
      <c r="E32" s="101"/>
      <c r="F32" s="56">
        <v>13</v>
      </c>
      <c r="G32" s="57">
        <v>7</v>
      </c>
      <c r="H32" s="102" t="str">
        <f ca="1">IF(ISBLANK(INDIRECT(ADDRESS(K32*2+2,3))),"",INDIRECT(ADDRESS(K32*2+2,3)))</f>
        <v>Колобков</v>
      </c>
      <c r="I32" s="100"/>
      <c r="J32" s="100"/>
      <c r="K32" s="59">
        <v>5</v>
      </c>
      <c r="L32" s="58" t="s">
        <v>27</v>
      </c>
      <c r="M32" s="53"/>
    </row>
    <row r="33" spans="1:13" s="55" customFormat="1" ht="30" customHeight="1">
      <c r="A33" s="54"/>
      <c r="M33" s="60"/>
    </row>
    <row r="34" spans="1:13" s="55" customFormat="1" ht="30" customHeight="1" thickBot="1">
      <c r="A34" s="54"/>
      <c r="B34" s="99" t="s">
        <v>8</v>
      </c>
      <c r="C34" s="99"/>
      <c r="D34" s="99"/>
      <c r="E34" s="99"/>
      <c r="F34" s="99"/>
      <c r="G34" s="99"/>
      <c r="H34" s="99"/>
      <c r="I34" s="99"/>
      <c r="J34" s="99"/>
      <c r="K34" s="99"/>
      <c r="M34" s="60"/>
    </row>
    <row r="35" spans="1:13" s="55" customFormat="1" ht="30" customHeight="1" thickBot="1">
      <c r="A35" s="54"/>
      <c r="B35" s="59">
        <v>6</v>
      </c>
      <c r="C35" s="100" t="str">
        <f ca="1">IF(ISBLANK(INDIRECT(ADDRESS(B35*2+2,3))),"",INDIRECT(ADDRESS(B35*2+2,3)))</f>
        <v>Аверьянов</v>
      </c>
      <c r="D35" s="100"/>
      <c r="E35" s="101"/>
      <c r="F35" s="56">
        <v>13</v>
      </c>
      <c r="G35" s="57">
        <v>6</v>
      </c>
      <c r="H35" s="102" t="str">
        <f ca="1">IF(ISBLANK(INDIRECT(ADDRESS(K35*2+2,3))),"",INDIRECT(ADDRESS(K35*2+2,3)))</f>
        <v>Колобков</v>
      </c>
      <c r="I35" s="100"/>
      <c r="J35" s="100"/>
      <c r="K35" s="59">
        <v>5</v>
      </c>
      <c r="L35" s="58" t="s">
        <v>19</v>
      </c>
      <c r="M35" s="53"/>
    </row>
    <row r="36" spans="1:13" s="55" customFormat="1" ht="30" customHeight="1" thickBot="1">
      <c r="A36" s="54"/>
      <c r="B36" s="59">
        <v>1</v>
      </c>
      <c r="C36" s="100" t="str">
        <f ca="1">IF(ISBLANK(INDIRECT(ADDRESS(B36*2+2,3))),"",INDIRECT(ADDRESS(B36*2+2,3)))</f>
        <v>Капран-Индаяти</v>
      </c>
      <c r="D36" s="100"/>
      <c r="E36" s="101"/>
      <c r="F36" s="56">
        <v>12</v>
      </c>
      <c r="G36" s="57">
        <v>11</v>
      </c>
      <c r="H36" s="102" t="str">
        <f ca="1">IF(ISBLANK(INDIRECT(ADDRESS(K36*2+2,3))),"",INDIRECT(ADDRESS(K36*2+2,3)))</f>
        <v>Комолов</v>
      </c>
      <c r="I36" s="100"/>
      <c r="J36" s="100"/>
      <c r="K36" s="59">
        <v>4</v>
      </c>
      <c r="L36" s="58" t="s">
        <v>20</v>
      </c>
      <c r="M36" s="53"/>
    </row>
    <row r="37" spans="1:13" s="55" customFormat="1" ht="30" customHeight="1" thickBot="1">
      <c r="A37" s="54"/>
      <c r="B37" s="59">
        <v>2</v>
      </c>
      <c r="C37" s="100" t="str">
        <f ca="1">IF(ISBLANK(INDIRECT(ADDRESS(B37*2+2,3))),"",INDIRECT(ADDRESS(B37*2+2,3)))</f>
        <v>Анухин</v>
      </c>
      <c r="D37" s="100"/>
      <c r="E37" s="101"/>
      <c r="F37" s="56">
        <v>13</v>
      </c>
      <c r="G37" s="57">
        <v>2</v>
      </c>
      <c r="H37" s="102" t="str">
        <f ca="1">IF(ISBLANK(INDIRECT(ADDRESS(K37*2+2,3))),"",INDIRECT(ADDRESS(K37*2+2,3)))</f>
        <v>Калякин М.</v>
      </c>
      <c r="I37" s="100"/>
      <c r="J37" s="100"/>
      <c r="K37" s="59">
        <v>3</v>
      </c>
      <c r="L37" s="58" t="s">
        <v>21</v>
      </c>
      <c r="M37" s="53"/>
    </row>
    <row r="38" spans="1:13" s="55" customFormat="1" ht="30" customHeight="1">
      <c r="A38" s="54"/>
      <c r="M38" s="60"/>
    </row>
    <row r="39" spans="1:13" s="55" customFormat="1" ht="30" customHeight="1" thickBot="1">
      <c r="A39" s="54"/>
      <c r="B39" s="99" t="s">
        <v>9</v>
      </c>
      <c r="C39" s="99"/>
      <c r="D39" s="99"/>
      <c r="E39" s="99"/>
      <c r="F39" s="99"/>
      <c r="G39" s="99"/>
      <c r="H39" s="99"/>
      <c r="I39" s="99"/>
      <c r="J39" s="99"/>
      <c r="K39" s="99"/>
      <c r="M39" s="60"/>
    </row>
    <row r="40" spans="1:13" s="55" customFormat="1" ht="30" customHeight="1" thickBot="1">
      <c r="A40" s="54"/>
      <c r="B40" s="59">
        <v>3</v>
      </c>
      <c r="C40" s="100" t="str">
        <f ca="1">IF(ISBLANK(INDIRECT(ADDRESS(B40*2+2,3))),"",INDIRECT(ADDRESS(B40*2+2,3)))</f>
        <v>Калякин М.</v>
      </c>
      <c r="D40" s="100"/>
      <c r="E40" s="101"/>
      <c r="F40" s="56">
        <v>10</v>
      </c>
      <c r="G40" s="57">
        <v>13</v>
      </c>
      <c r="H40" s="102" t="str">
        <f ca="1">IF(ISBLANK(INDIRECT(ADDRESS(K40*2+2,3))),"",INDIRECT(ADDRESS(K40*2+2,3)))</f>
        <v>Аверьянов</v>
      </c>
      <c r="I40" s="100"/>
      <c r="J40" s="100"/>
      <c r="K40" s="59">
        <v>6</v>
      </c>
      <c r="L40" s="58" t="s">
        <v>22</v>
      </c>
      <c r="M40" s="53"/>
    </row>
    <row r="41" spans="1:13" s="55" customFormat="1" ht="30" customHeight="1" thickBot="1">
      <c r="A41" s="54"/>
      <c r="B41" s="59">
        <v>4</v>
      </c>
      <c r="C41" s="100" t="str">
        <f ca="1">IF(ISBLANK(INDIRECT(ADDRESS(B41*2+2,3))),"",INDIRECT(ADDRESS(B41*2+2,3)))</f>
        <v>Комолов</v>
      </c>
      <c r="D41" s="100"/>
      <c r="E41" s="101"/>
      <c r="F41" s="56">
        <v>10</v>
      </c>
      <c r="G41" s="57">
        <v>13</v>
      </c>
      <c r="H41" s="102" t="str">
        <f ca="1">IF(ISBLANK(INDIRECT(ADDRESS(K41*2+2,3))),"",INDIRECT(ADDRESS(K41*2+2,3)))</f>
        <v>Анухин</v>
      </c>
      <c r="I41" s="100"/>
      <c r="J41" s="100"/>
      <c r="K41" s="59">
        <v>2</v>
      </c>
      <c r="L41" s="58" t="s">
        <v>23</v>
      </c>
      <c r="M41" s="53"/>
    </row>
    <row r="42" spans="1:13" s="55" customFormat="1" ht="30" customHeight="1" thickBot="1">
      <c r="A42" s="54"/>
      <c r="B42" s="59">
        <v>5</v>
      </c>
      <c r="C42" s="100" t="str">
        <f ca="1">IF(ISBLANK(INDIRECT(ADDRESS(B42*2+2,3))),"",INDIRECT(ADDRESS(B42*2+2,3)))</f>
        <v>Колобков</v>
      </c>
      <c r="D42" s="100"/>
      <c r="E42" s="101"/>
      <c r="F42" s="56">
        <v>6</v>
      </c>
      <c r="G42" s="57">
        <v>13</v>
      </c>
      <c r="H42" s="102" t="str">
        <f ca="1">IF(ISBLANK(INDIRECT(ADDRESS(K42*2+2,3))),"",INDIRECT(ADDRESS(K42*2+2,3)))</f>
        <v>Капран-Индаяти</v>
      </c>
      <c r="I42" s="100"/>
      <c r="J42" s="100"/>
      <c r="K42" s="59">
        <v>1</v>
      </c>
      <c r="L42" s="58" t="s">
        <v>24</v>
      </c>
      <c r="M42" s="53"/>
    </row>
    <row r="46" spans="1:13" ht="21">
      <c r="C46" s="61" t="s">
        <v>122</v>
      </c>
      <c r="D46" s="61"/>
      <c r="E46" s="61"/>
      <c r="F46" s="61"/>
    </row>
    <row r="47" spans="1:13" ht="21">
      <c r="C47" s="61"/>
      <c r="D47" s="61"/>
      <c r="E47" s="61"/>
      <c r="F47" s="61"/>
    </row>
    <row r="48" spans="1:13" ht="21">
      <c r="C48" s="61"/>
      <c r="D48" s="61"/>
      <c r="E48" s="61"/>
      <c r="F48" s="61"/>
    </row>
    <row r="49" spans="3:6" ht="21">
      <c r="C49" s="61" t="s">
        <v>29</v>
      </c>
      <c r="D49" s="61"/>
      <c r="E49" s="61"/>
      <c r="F49" s="61"/>
    </row>
  </sheetData>
  <sheetCalcPr fullCalcOnLoad="1"/>
  <mergeCells count="62">
    <mergeCell ref="C32:E32"/>
    <mergeCell ref="H32:J32"/>
    <mergeCell ref="C41:E41"/>
    <mergeCell ref="H41:J41"/>
    <mergeCell ref="H36:J36"/>
    <mergeCell ref="C37:E37"/>
    <mergeCell ref="H37:J37"/>
    <mergeCell ref="B39:K39"/>
    <mergeCell ref="C40:E40"/>
    <mergeCell ref="H40:J40"/>
    <mergeCell ref="C42:E42"/>
    <mergeCell ref="H42:J42"/>
    <mergeCell ref="B34:K34"/>
    <mergeCell ref="C35:E35"/>
    <mergeCell ref="H35:J35"/>
    <mergeCell ref="C36:E36"/>
    <mergeCell ref="C31:E31"/>
    <mergeCell ref="H31:J31"/>
    <mergeCell ref="B29:K29"/>
    <mergeCell ref="C22:E22"/>
    <mergeCell ref="H22:J22"/>
    <mergeCell ref="B24:K24"/>
    <mergeCell ref="C25:E25"/>
    <mergeCell ref="H25:J25"/>
    <mergeCell ref="C27:E27"/>
    <mergeCell ref="H27:J27"/>
    <mergeCell ref="C21:E21"/>
    <mergeCell ref="H21:J21"/>
    <mergeCell ref="C30:E30"/>
    <mergeCell ref="H30:J30"/>
    <mergeCell ref="C26:E26"/>
    <mergeCell ref="H26:J26"/>
    <mergeCell ref="N12:N13"/>
    <mergeCell ref="B14:B15"/>
    <mergeCell ref="C14:E15"/>
    <mergeCell ref="L14:L15"/>
    <mergeCell ref="N14:N15"/>
    <mergeCell ref="L12:L13"/>
    <mergeCell ref="B12:B13"/>
    <mergeCell ref="C12:E13"/>
    <mergeCell ref="B8:B9"/>
    <mergeCell ref="C8:E9"/>
    <mergeCell ref="L8:L9"/>
    <mergeCell ref="B19:K19"/>
    <mergeCell ref="C20:E20"/>
    <mergeCell ref="H20:J20"/>
    <mergeCell ref="L6:L7"/>
    <mergeCell ref="N8:N9"/>
    <mergeCell ref="B10:B11"/>
    <mergeCell ref="C10:E11"/>
    <mergeCell ref="L10:L11"/>
    <mergeCell ref="N10:N11"/>
    <mergeCell ref="N4:N5"/>
    <mergeCell ref="B1:N1"/>
    <mergeCell ref="B2:N2"/>
    <mergeCell ref="N6:N7"/>
    <mergeCell ref="C3:E3"/>
    <mergeCell ref="B4:B5"/>
    <mergeCell ref="C4:E5"/>
    <mergeCell ref="L4:L5"/>
    <mergeCell ref="B6:B7"/>
    <mergeCell ref="C6:E7"/>
  </mergeCells>
  <phoneticPr fontId="0" type="noConversion"/>
  <printOptions horizontalCentered="1"/>
  <pageMargins left="0.25" right="0.25" top="0.75" bottom="0.75" header="0.3" footer="0.3"/>
  <pageSetup paperSize="9" scale="6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O47"/>
  <sheetViews>
    <sheetView topLeftCell="A10" zoomScaleNormal="100" workbookViewId="0">
      <selection activeCell="M43" sqref="M43"/>
    </sheetView>
  </sheetViews>
  <sheetFormatPr defaultRowHeight="15" customHeight="1"/>
  <cols>
    <col min="1" max="1" width="9.140625" style="30"/>
    <col min="2" max="16384" width="9.140625" style="29"/>
  </cols>
  <sheetData>
    <row r="1" spans="2:14" ht="59.25" customHeight="1">
      <c r="B1" s="82" t="s">
        <v>28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46.5" customHeight="1" thickBot="1">
      <c r="B2" s="83" t="s">
        <v>69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2:14" ht="15" customHeight="1">
      <c r="C3" s="37"/>
    </row>
    <row r="4" spans="2:14" ht="15" customHeight="1">
      <c r="B4" s="109" t="s">
        <v>13</v>
      </c>
      <c r="C4" s="110"/>
      <c r="D4" s="28">
        <v>13</v>
      </c>
      <c r="E4" s="31"/>
    </row>
    <row r="5" spans="2:14" ht="15" customHeight="1">
      <c r="C5" s="37"/>
      <c r="E5" s="32"/>
    </row>
    <row r="6" spans="2:14" ht="15" customHeight="1">
      <c r="B6" s="36" t="s">
        <v>19</v>
      </c>
      <c r="C6" s="37"/>
      <c r="E6" s="33"/>
      <c r="F6" s="111" t="str">
        <f>IF(ISBLANK(D4),"",IF(D4&gt;D8,B4,B8))</f>
        <v>Капран-Индаяти</v>
      </c>
      <c r="G6" s="110"/>
      <c r="H6" s="28">
        <v>13</v>
      </c>
      <c r="I6" s="31"/>
    </row>
    <row r="7" spans="2:14" ht="15" customHeight="1">
      <c r="C7" s="37"/>
      <c r="E7" s="33"/>
      <c r="I7" s="32"/>
    </row>
    <row r="8" spans="2:14" ht="15" customHeight="1">
      <c r="B8" s="109" t="s">
        <v>33</v>
      </c>
      <c r="C8" s="110"/>
      <c r="D8" s="28">
        <v>0</v>
      </c>
      <c r="E8" s="34"/>
      <c r="I8" s="33"/>
    </row>
    <row r="9" spans="2:14" ht="15" customHeight="1">
      <c r="C9" s="37"/>
      <c r="I9" s="33"/>
    </row>
    <row r="10" spans="2:14" ht="15" customHeight="1">
      <c r="C10" s="37"/>
      <c r="G10" s="36" t="s">
        <v>20</v>
      </c>
      <c r="H10" s="37"/>
      <c r="I10" s="33"/>
      <c r="J10" s="111" t="str">
        <f>IF(ISBLANK(H6),"",IF(H6&gt;H14,F6,F14))</f>
        <v>Капран-Индаяти</v>
      </c>
      <c r="K10" s="109"/>
      <c r="L10" s="28">
        <v>13</v>
      </c>
      <c r="M10" s="31"/>
    </row>
    <row r="11" spans="2:14" ht="15" customHeight="1">
      <c r="C11" s="37"/>
      <c r="I11" s="33"/>
      <c r="M11" s="32"/>
    </row>
    <row r="12" spans="2:14" ht="15" customHeight="1">
      <c r="B12" s="109" t="s">
        <v>66</v>
      </c>
      <c r="C12" s="110"/>
      <c r="D12" s="28">
        <v>13</v>
      </c>
      <c r="E12" s="31"/>
      <c r="I12" s="33"/>
      <c r="M12" s="33"/>
    </row>
    <row r="13" spans="2:14" ht="15" customHeight="1">
      <c r="C13" s="37"/>
      <c r="E13" s="32"/>
      <c r="I13" s="33"/>
      <c r="M13" s="33"/>
    </row>
    <row r="14" spans="2:14" ht="15" customHeight="1">
      <c r="B14" s="36" t="s">
        <v>21</v>
      </c>
      <c r="C14" s="37"/>
      <c r="E14" s="33"/>
      <c r="F14" s="111" t="str">
        <f>IF(ISBLANK(D12),"",IF(D12&gt;D16,B12,B16))</f>
        <v>Татьянц</v>
      </c>
      <c r="G14" s="110"/>
      <c r="H14" s="28">
        <v>0</v>
      </c>
      <c r="I14" s="34"/>
      <c r="M14" s="33"/>
    </row>
    <row r="15" spans="2:14" ht="15" customHeight="1">
      <c r="E15" s="33"/>
      <c r="M15" s="33"/>
    </row>
    <row r="16" spans="2:14" ht="15" customHeight="1">
      <c r="B16" s="109" t="s">
        <v>15</v>
      </c>
      <c r="C16" s="110"/>
      <c r="D16" s="28">
        <v>10</v>
      </c>
      <c r="E16" s="34"/>
      <c r="M16" s="33"/>
    </row>
    <row r="17" spans="2:15" ht="15" customHeight="1">
      <c r="M17" s="33"/>
    </row>
    <row r="18" spans="2:15" ht="15" customHeight="1">
      <c r="B18" s="36"/>
      <c r="K18" s="36" t="s">
        <v>19</v>
      </c>
      <c r="L18" s="37"/>
      <c r="M18" s="33"/>
      <c r="N18" s="111" t="str">
        <f>IF(ISBLANK(L10),"",IF(L10&gt;L26,J10,J26))</f>
        <v>Капран-Индаяти</v>
      </c>
      <c r="O18" s="109"/>
    </row>
    <row r="19" spans="2:15" ht="15" customHeight="1">
      <c r="M19" s="33"/>
    </row>
    <row r="20" spans="2:15" ht="15" customHeight="1">
      <c r="B20" s="109" t="s">
        <v>67</v>
      </c>
      <c r="C20" s="110"/>
      <c r="D20" s="28">
        <v>7</v>
      </c>
      <c r="E20" s="31"/>
      <c r="M20" s="33"/>
    </row>
    <row r="21" spans="2:15" ht="15" customHeight="1">
      <c r="E21" s="32"/>
      <c r="M21" s="33"/>
    </row>
    <row r="22" spans="2:15" ht="15" customHeight="1">
      <c r="B22" s="36" t="s">
        <v>23</v>
      </c>
      <c r="C22" s="37"/>
      <c r="E22" s="33"/>
      <c r="F22" s="111" t="str">
        <f>IF(ISBLANK(D20),"",IF(D20&gt;D24,B20,B24))</f>
        <v>Анухин</v>
      </c>
      <c r="G22" s="110"/>
      <c r="H22" s="28">
        <v>13</v>
      </c>
      <c r="I22" s="31"/>
      <c r="M22" s="33"/>
    </row>
    <row r="23" spans="2:15" ht="15" customHeight="1">
      <c r="E23" s="33"/>
      <c r="I23" s="32"/>
      <c r="M23" s="33"/>
    </row>
    <row r="24" spans="2:15" ht="15" customHeight="1">
      <c r="B24" s="109" t="s">
        <v>14</v>
      </c>
      <c r="C24" s="110"/>
      <c r="D24" s="28">
        <v>13</v>
      </c>
      <c r="E24" s="34"/>
      <c r="I24" s="33"/>
      <c r="M24" s="33"/>
    </row>
    <row r="25" spans="2:15" ht="15" customHeight="1">
      <c r="I25" s="33"/>
      <c r="M25" s="33"/>
    </row>
    <row r="26" spans="2:15" ht="15" customHeight="1">
      <c r="G26" s="36" t="s">
        <v>22</v>
      </c>
      <c r="H26" s="37"/>
      <c r="I26" s="33"/>
      <c r="J26" s="111" t="str">
        <f>IF(ISBLANK(H22),"",IF(H22&gt;H30,F22,F30))</f>
        <v>Анухин</v>
      </c>
      <c r="K26" s="110"/>
      <c r="L26" s="28">
        <v>0</v>
      </c>
      <c r="M26" s="34"/>
    </row>
    <row r="27" spans="2:15" ht="15" customHeight="1">
      <c r="I27" s="33"/>
    </row>
    <row r="28" spans="2:15" ht="15" customHeight="1">
      <c r="B28" s="109" t="s">
        <v>68</v>
      </c>
      <c r="C28" s="110"/>
      <c r="D28" s="28">
        <v>13</v>
      </c>
      <c r="E28" s="31"/>
      <c r="I28" s="33"/>
    </row>
    <row r="29" spans="2:15" ht="15" customHeight="1">
      <c r="E29" s="32"/>
      <c r="I29" s="33"/>
    </row>
    <row r="30" spans="2:15" ht="15" customHeight="1">
      <c r="B30" s="36" t="s">
        <v>25</v>
      </c>
      <c r="C30" s="37"/>
      <c r="E30" s="33"/>
      <c r="F30" s="111" t="str">
        <f>IF(ISBLANK(D28),"",IF(D28&gt;D32,B28,B32))</f>
        <v>Савельев</v>
      </c>
      <c r="G30" s="110"/>
      <c r="H30" s="28">
        <v>10</v>
      </c>
      <c r="I30" s="34"/>
    </row>
    <row r="31" spans="2:15" ht="15" customHeight="1">
      <c r="E31" s="33"/>
    </row>
    <row r="32" spans="2:15" ht="15" customHeight="1">
      <c r="B32" s="109" t="s">
        <v>32</v>
      </c>
      <c r="C32" s="110"/>
      <c r="D32" s="28">
        <v>7</v>
      </c>
      <c r="E32" s="34"/>
    </row>
    <row r="36" spans="2:10" ht="15" customHeight="1">
      <c r="B36" s="109" t="str">
        <f>IF(ISBLANK(H6),"",IF(H6&gt;H14,F14,F6))</f>
        <v>Татьянц</v>
      </c>
      <c r="C36" s="110"/>
      <c r="D36" s="28">
        <v>13</v>
      </c>
      <c r="E36" s="31"/>
      <c r="F36" s="112"/>
      <c r="G36" s="112"/>
    </row>
    <row r="37" spans="2:10" ht="15" customHeight="1">
      <c r="E37" s="32"/>
    </row>
    <row r="38" spans="2:10" ht="15" customHeight="1">
      <c r="C38" s="36" t="s">
        <v>21</v>
      </c>
      <c r="E38" s="33"/>
      <c r="F38" s="111" t="str">
        <f>IF(ISBLANK(D36),"",IF(D36&gt;D40,B36,B40))</f>
        <v>Татьянц</v>
      </c>
      <c r="G38" s="109"/>
    </row>
    <row r="39" spans="2:10" ht="15" customHeight="1">
      <c r="E39" s="33"/>
    </row>
    <row r="40" spans="2:10" ht="15" customHeight="1">
      <c r="B40" s="109" t="str">
        <f>IF(ISBLANK(H22),"",IF(H22&gt;H30,F30,F22))</f>
        <v>Савельев</v>
      </c>
      <c r="C40" s="110"/>
      <c r="D40" s="28">
        <v>0</v>
      </c>
      <c r="E40" s="34"/>
    </row>
    <row r="44" spans="2:10" ht="18.75" customHeight="1">
      <c r="B44" s="61" t="s">
        <v>122</v>
      </c>
      <c r="C44" s="61"/>
      <c r="D44" s="61"/>
      <c r="E44" s="61"/>
      <c r="F44"/>
      <c r="G44"/>
      <c r="H44"/>
      <c r="I44"/>
      <c r="J44"/>
    </row>
    <row r="45" spans="2:10" ht="15" customHeight="1">
      <c r="B45" s="61"/>
      <c r="C45" s="61"/>
      <c r="D45" s="61"/>
      <c r="E45" s="61"/>
      <c r="F45"/>
      <c r="G45"/>
      <c r="H45"/>
      <c r="I45"/>
      <c r="J45"/>
    </row>
    <row r="46" spans="2:10" ht="15" customHeight="1">
      <c r="B46" s="61"/>
      <c r="C46" s="61"/>
      <c r="D46" s="61"/>
      <c r="E46" s="61"/>
      <c r="F46"/>
      <c r="G46"/>
      <c r="H46"/>
      <c r="I46"/>
      <c r="J46"/>
    </row>
    <row r="47" spans="2:10" ht="17.25" customHeight="1">
      <c r="B47" s="61" t="s">
        <v>29</v>
      </c>
      <c r="C47" s="61"/>
      <c r="D47" s="61"/>
      <c r="E47" s="61"/>
      <c r="F47"/>
      <c r="G47"/>
      <c r="H47"/>
      <c r="I47"/>
      <c r="J47"/>
    </row>
  </sheetData>
  <mergeCells count="21">
    <mergeCell ref="J26:K26"/>
    <mergeCell ref="B24:C24"/>
    <mergeCell ref="B40:C40"/>
    <mergeCell ref="B28:C28"/>
    <mergeCell ref="F30:G30"/>
    <mergeCell ref="B32:C32"/>
    <mergeCell ref="B36:C36"/>
    <mergeCell ref="F36:G36"/>
    <mergeCell ref="F38:G38"/>
    <mergeCell ref="B12:C12"/>
    <mergeCell ref="N18:O18"/>
    <mergeCell ref="B20:C20"/>
    <mergeCell ref="F22:G22"/>
    <mergeCell ref="B16:C16"/>
    <mergeCell ref="F14:G14"/>
    <mergeCell ref="J10:K10"/>
    <mergeCell ref="B2:N2"/>
    <mergeCell ref="B1:N1"/>
    <mergeCell ref="B4:C4"/>
    <mergeCell ref="F6:G6"/>
    <mergeCell ref="B8:C8"/>
  </mergeCells>
  <phoneticPr fontId="9" type="noConversion"/>
  <pageMargins left="0.25" right="0.25" top="0.75" bottom="0.75" header="0.3" footer="0.3"/>
  <pageSetup paperSize="9" scale="64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N31"/>
  <sheetViews>
    <sheetView workbookViewId="0">
      <selection activeCell="K23" sqref="K23"/>
    </sheetView>
  </sheetViews>
  <sheetFormatPr defaultRowHeight="15" customHeight="1"/>
  <cols>
    <col min="1" max="1" width="9.140625" style="30"/>
    <col min="2" max="16384" width="9.140625" style="29"/>
  </cols>
  <sheetData>
    <row r="1" spans="2:14" ht="59.25" customHeight="1">
      <c r="B1" s="82" t="s">
        <v>28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45.75" customHeight="1" thickBot="1">
      <c r="B2" s="83" t="s">
        <v>70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2:14" ht="15" customHeight="1">
      <c r="C3" s="37"/>
    </row>
    <row r="4" spans="2:14" ht="15" customHeight="1">
      <c r="B4" s="109" t="s">
        <v>33</v>
      </c>
      <c r="C4" s="110"/>
      <c r="D4" s="28">
        <v>4</v>
      </c>
      <c r="E4" s="31"/>
    </row>
    <row r="5" spans="2:14" ht="15" customHeight="1">
      <c r="C5" s="37"/>
      <c r="E5" s="32"/>
    </row>
    <row r="6" spans="2:14" ht="15" customHeight="1">
      <c r="B6" s="36" t="s">
        <v>24</v>
      </c>
      <c r="C6" s="37"/>
      <c r="E6" s="33"/>
      <c r="F6" s="111" t="str">
        <f>IF(ISBLANK(D4),"",IF(D4&gt;D8,B4,B8))</f>
        <v>Калякин М.</v>
      </c>
      <c r="G6" s="110"/>
      <c r="H6" s="28">
        <v>13</v>
      </c>
      <c r="I6" s="31"/>
    </row>
    <row r="7" spans="2:14" ht="15" customHeight="1">
      <c r="C7" s="37"/>
      <c r="E7" s="33"/>
      <c r="I7" s="32"/>
    </row>
    <row r="8" spans="2:14" ht="15" customHeight="1">
      <c r="B8" s="109" t="s">
        <v>15</v>
      </c>
      <c r="C8" s="110"/>
      <c r="D8" s="28">
        <v>13</v>
      </c>
      <c r="E8" s="34"/>
      <c r="I8" s="33"/>
    </row>
    <row r="9" spans="2:14" ht="15" customHeight="1">
      <c r="C9" s="37"/>
      <c r="I9" s="33"/>
    </row>
    <row r="10" spans="2:14" ht="15" customHeight="1">
      <c r="C10" s="37"/>
      <c r="G10" s="36" t="s">
        <v>23</v>
      </c>
      <c r="H10" s="37"/>
      <c r="I10" s="33"/>
      <c r="J10" s="111" t="str">
        <f>IF(ISBLANK(H6),"",IF(H6&gt;H14,F6,F14))</f>
        <v>Калякин М.</v>
      </c>
      <c r="K10" s="109"/>
      <c r="L10" s="52"/>
      <c r="M10" s="35"/>
    </row>
    <row r="11" spans="2:14" ht="15" customHeight="1">
      <c r="C11" s="37"/>
      <c r="I11" s="33"/>
      <c r="M11" s="35"/>
    </row>
    <row r="12" spans="2:14" ht="15" customHeight="1">
      <c r="B12" s="109" t="s">
        <v>67</v>
      </c>
      <c r="C12" s="110"/>
      <c r="D12" s="28">
        <v>7</v>
      </c>
      <c r="E12" s="31"/>
      <c r="I12" s="33"/>
      <c r="M12" s="35"/>
    </row>
    <row r="13" spans="2:14" ht="15" customHeight="1">
      <c r="C13" s="37"/>
      <c r="E13" s="32"/>
      <c r="I13" s="33"/>
      <c r="M13" s="35"/>
    </row>
    <row r="14" spans="2:14" ht="15" customHeight="1">
      <c r="B14" s="36" t="s">
        <v>26</v>
      </c>
      <c r="C14" s="37"/>
      <c r="E14" s="33"/>
      <c r="F14" s="111" t="str">
        <f>IF(ISBLANK(D12),"",IF(D12&gt;D16,B12,B16))</f>
        <v>Субанов</v>
      </c>
      <c r="G14" s="110"/>
      <c r="H14" s="28">
        <v>10</v>
      </c>
      <c r="I14" s="34"/>
      <c r="M14" s="35"/>
    </row>
    <row r="15" spans="2:14" ht="15" customHeight="1">
      <c r="E15" s="33"/>
      <c r="M15" s="35"/>
    </row>
    <row r="16" spans="2:14" ht="15" customHeight="1">
      <c r="B16" s="109" t="s">
        <v>32</v>
      </c>
      <c r="C16" s="110"/>
      <c r="D16" s="28">
        <v>13</v>
      </c>
      <c r="E16" s="34"/>
      <c r="M16" s="35"/>
    </row>
    <row r="17" spans="2:13" ht="15" customHeight="1">
      <c r="M17" s="35"/>
    </row>
    <row r="20" spans="2:13" ht="15" customHeight="1">
      <c r="B20" s="109" t="str">
        <f>IF(ISBLANK(D4),"",IF(D4&gt;D8,B8,B4))</f>
        <v>Бацманов</v>
      </c>
      <c r="C20" s="110"/>
      <c r="D20" s="28">
        <v>3</v>
      </c>
      <c r="E20" s="31"/>
      <c r="F20" s="112"/>
      <c r="G20" s="112"/>
    </row>
    <row r="21" spans="2:13" ht="15" customHeight="1">
      <c r="E21" s="32"/>
    </row>
    <row r="22" spans="2:13" ht="15" customHeight="1">
      <c r="C22" s="36" t="s">
        <v>25</v>
      </c>
      <c r="E22" s="33"/>
      <c r="F22" s="111" t="str">
        <f>IF(ISBLANK(D20),"",IF(D20&gt;D24,B20,B24))</f>
        <v>Коновалов</v>
      </c>
      <c r="G22" s="109"/>
    </row>
    <row r="23" spans="2:13" ht="15" customHeight="1">
      <c r="E23" s="33"/>
    </row>
    <row r="24" spans="2:13" ht="15" customHeight="1">
      <c r="B24" s="109" t="str">
        <f>IF(ISBLANK(D12),"",IF(D12&gt;D16,B16,B12))</f>
        <v>Коновалов</v>
      </c>
      <c r="C24" s="110"/>
      <c r="D24" s="28">
        <v>13</v>
      </c>
      <c r="E24" s="34"/>
    </row>
    <row r="28" spans="2:13" ht="20.25" customHeight="1">
      <c r="B28" s="61" t="s">
        <v>122</v>
      </c>
      <c r="C28" s="61"/>
      <c r="D28" s="61"/>
      <c r="E28" s="61"/>
      <c r="F28"/>
      <c r="G28"/>
      <c r="H28"/>
      <c r="I28"/>
    </row>
    <row r="29" spans="2:13" ht="15" customHeight="1">
      <c r="B29" s="61"/>
      <c r="C29" s="61"/>
      <c r="D29" s="61"/>
      <c r="E29" s="61"/>
      <c r="F29"/>
      <c r="G29"/>
      <c r="H29"/>
      <c r="I29"/>
    </row>
    <row r="30" spans="2:13" ht="15" customHeight="1">
      <c r="B30" s="61"/>
      <c r="C30" s="61"/>
      <c r="D30" s="61"/>
      <c r="E30" s="61"/>
      <c r="F30"/>
      <c r="G30"/>
      <c r="H30"/>
      <c r="I30"/>
    </row>
    <row r="31" spans="2:13" ht="18.75" customHeight="1">
      <c r="B31" s="61" t="s">
        <v>29</v>
      </c>
      <c r="C31" s="61"/>
      <c r="D31" s="61"/>
      <c r="E31" s="61"/>
      <c r="F31"/>
      <c r="G31"/>
      <c r="H31"/>
      <c r="I31"/>
    </row>
  </sheetData>
  <mergeCells count="13">
    <mergeCell ref="B4:C4"/>
    <mergeCell ref="F6:G6"/>
    <mergeCell ref="B8:C8"/>
    <mergeCell ref="B1:N1"/>
    <mergeCell ref="B2:N2"/>
    <mergeCell ref="F22:G22"/>
    <mergeCell ref="B24:C24"/>
    <mergeCell ref="B20:C20"/>
    <mergeCell ref="F20:G20"/>
    <mergeCell ref="B12:C12"/>
    <mergeCell ref="F14:G14"/>
    <mergeCell ref="B16:C16"/>
    <mergeCell ref="J10:K10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92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1"/>
  <sheetViews>
    <sheetView workbookViewId="0">
      <selection activeCell="J26" sqref="J26"/>
    </sheetView>
  </sheetViews>
  <sheetFormatPr defaultRowHeight="15" customHeight="1"/>
  <cols>
    <col min="1" max="1" width="9.140625" style="30"/>
    <col min="2" max="16384" width="9.140625" style="29"/>
  </cols>
  <sheetData>
    <row r="1" spans="2:14" ht="59.25" customHeight="1">
      <c r="B1" s="82" t="s">
        <v>28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45.75" customHeight="1" thickBot="1">
      <c r="B2" s="83" t="s">
        <v>71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2:14" ht="15" customHeight="1">
      <c r="C3" s="37"/>
    </row>
    <row r="4" spans="2:14" ht="15" customHeight="1">
      <c r="B4" s="109" t="s">
        <v>72</v>
      </c>
      <c r="C4" s="110"/>
      <c r="D4" s="28">
        <v>13</v>
      </c>
      <c r="E4" s="31"/>
    </row>
    <row r="5" spans="2:14" ht="15" customHeight="1">
      <c r="C5" s="37"/>
      <c r="E5" s="32"/>
    </row>
    <row r="6" spans="2:14" ht="15" customHeight="1">
      <c r="B6" s="36" t="s">
        <v>23</v>
      </c>
      <c r="C6" s="37"/>
      <c r="E6" s="33"/>
      <c r="F6" s="111" t="str">
        <f>IF(ISBLANK(D4),"",IF(D4&gt;D8,B4,B8))</f>
        <v>Гришин</v>
      </c>
      <c r="G6" s="110"/>
      <c r="H6" s="28">
        <v>12</v>
      </c>
      <c r="I6" s="31"/>
    </row>
    <row r="7" spans="2:14" ht="15" customHeight="1">
      <c r="C7" s="37"/>
      <c r="E7" s="33"/>
      <c r="I7" s="32"/>
    </row>
    <row r="8" spans="2:14" ht="15" customHeight="1">
      <c r="B8" s="109" t="s">
        <v>73</v>
      </c>
      <c r="C8" s="110"/>
      <c r="D8" s="28">
        <v>7</v>
      </c>
      <c r="E8" s="34"/>
      <c r="I8" s="33"/>
    </row>
    <row r="9" spans="2:14" ht="15" customHeight="1">
      <c r="C9" s="37"/>
      <c r="I9" s="33"/>
    </row>
    <row r="10" spans="2:14" ht="15" customHeight="1">
      <c r="C10" s="37"/>
      <c r="G10" s="36" t="s">
        <v>24</v>
      </c>
      <c r="H10" s="37"/>
      <c r="I10" s="33"/>
      <c r="J10" s="111" t="str">
        <f>IF(ISBLANK(H6),"",IF(H6&gt;H14,F6,F14))</f>
        <v>Гришин</v>
      </c>
      <c r="K10" s="109"/>
      <c r="L10" s="52"/>
      <c r="M10" s="35"/>
    </row>
    <row r="11" spans="2:14" ht="15" customHeight="1">
      <c r="C11" s="37"/>
      <c r="I11" s="33"/>
      <c r="M11" s="35"/>
    </row>
    <row r="12" spans="2:14" ht="15" customHeight="1">
      <c r="B12" s="109" t="s">
        <v>36</v>
      </c>
      <c r="C12" s="110"/>
      <c r="D12" s="28">
        <v>13</v>
      </c>
      <c r="E12" s="31"/>
      <c r="I12" s="33"/>
      <c r="M12" s="35"/>
    </row>
    <row r="13" spans="2:14" ht="15" customHeight="1">
      <c r="C13" s="37"/>
      <c r="E13" s="32"/>
      <c r="I13" s="33"/>
      <c r="M13" s="35"/>
    </row>
    <row r="14" spans="2:14" ht="15" customHeight="1">
      <c r="B14" s="36" t="s">
        <v>25</v>
      </c>
      <c r="C14" s="37"/>
      <c r="E14" s="33"/>
      <c r="F14" s="111" t="str">
        <f>IF(ISBLANK(D12),"",IF(D12&gt;D16,B12,B16))</f>
        <v>Калякин А.</v>
      </c>
      <c r="G14" s="110"/>
      <c r="H14" s="28">
        <v>10</v>
      </c>
      <c r="I14" s="34"/>
      <c r="M14" s="35"/>
    </row>
    <row r="15" spans="2:14" ht="15" customHeight="1">
      <c r="E15" s="33"/>
      <c r="M15" s="35"/>
    </row>
    <row r="16" spans="2:14" ht="15" customHeight="1">
      <c r="B16" s="109" t="s">
        <v>18</v>
      </c>
      <c r="C16" s="110"/>
      <c r="D16" s="28">
        <v>7</v>
      </c>
      <c r="E16" s="34"/>
      <c r="M16" s="35"/>
    </row>
    <row r="17" spans="2:13" ht="15" customHeight="1">
      <c r="M17" s="35"/>
    </row>
    <row r="20" spans="2:13" ht="15" customHeight="1">
      <c r="B20" s="109" t="str">
        <f>IF(ISBLANK(D4),"",IF(D4&gt;D8,B8,B4))</f>
        <v>Кравчинский</v>
      </c>
      <c r="C20" s="110"/>
      <c r="D20" s="28">
        <v>13</v>
      </c>
      <c r="E20" s="31"/>
      <c r="F20" s="112"/>
      <c r="G20" s="112"/>
    </row>
    <row r="21" spans="2:13" ht="15" customHeight="1">
      <c r="E21" s="32"/>
    </row>
    <row r="22" spans="2:13" ht="15" customHeight="1">
      <c r="C22" s="36" t="s">
        <v>26</v>
      </c>
      <c r="E22" s="33"/>
      <c r="F22" s="111" t="str">
        <f>IF(ISBLANK(D20),"",IF(D20&gt;D24,B20,B24))</f>
        <v>Кравчинский</v>
      </c>
      <c r="G22" s="109"/>
    </row>
    <row r="23" spans="2:13" ht="15" customHeight="1">
      <c r="E23" s="33"/>
    </row>
    <row r="24" spans="2:13" ht="15" customHeight="1">
      <c r="B24" s="109" t="str">
        <f>IF(ISBLANK(D12),"",IF(D12&gt;D16,B16,B12))</f>
        <v>Аверьянов</v>
      </c>
      <c r="C24" s="110"/>
      <c r="D24" s="28">
        <v>7</v>
      </c>
      <c r="E24" s="34"/>
    </row>
    <row r="28" spans="2:13" ht="19.5" customHeight="1">
      <c r="B28" s="61" t="s">
        <v>122</v>
      </c>
      <c r="C28" s="61"/>
      <c r="D28" s="61"/>
      <c r="E28" s="61"/>
      <c r="F28"/>
      <c r="G28"/>
      <c r="H28"/>
      <c r="I28"/>
    </row>
    <row r="29" spans="2:13" ht="15" customHeight="1">
      <c r="B29" s="61"/>
      <c r="C29" s="61"/>
      <c r="D29" s="61"/>
      <c r="E29" s="61"/>
      <c r="F29"/>
      <c r="G29"/>
      <c r="H29"/>
      <c r="I29"/>
    </row>
    <row r="30" spans="2:13" ht="15" customHeight="1">
      <c r="B30" s="61"/>
      <c r="C30" s="61"/>
      <c r="D30" s="61"/>
      <c r="E30" s="61"/>
      <c r="F30"/>
      <c r="G30"/>
      <c r="H30"/>
      <c r="I30"/>
    </row>
    <row r="31" spans="2:13" ht="21" customHeight="1">
      <c r="B31" s="61" t="s">
        <v>29</v>
      </c>
      <c r="C31" s="61"/>
      <c r="D31" s="61"/>
      <c r="E31" s="61"/>
      <c r="F31"/>
      <c r="G31"/>
      <c r="H31"/>
      <c r="I31"/>
    </row>
  </sheetData>
  <mergeCells count="13">
    <mergeCell ref="F22:G22"/>
    <mergeCell ref="B24:C24"/>
    <mergeCell ref="B20:C20"/>
    <mergeCell ref="F20:G20"/>
    <mergeCell ref="B12:C12"/>
    <mergeCell ref="F14:G14"/>
    <mergeCell ref="B16:C16"/>
    <mergeCell ref="B4:C4"/>
    <mergeCell ref="F6:G6"/>
    <mergeCell ref="B8:C8"/>
    <mergeCell ref="B1:N1"/>
    <mergeCell ref="B2:N2"/>
    <mergeCell ref="J10:K10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2"/>
  <sheetViews>
    <sheetView zoomScaleNormal="100" workbookViewId="0">
      <selection activeCell="E20" sqref="E20"/>
    </sheetView>
  </sheetViews>
  <sheetFormatPr defaultRowHeight="15"/>
  <cols>
    <col min="2" max="2" width="25.7109375" customWidth="1"/>
    <col min="3" max="3" width="22.42578125" customWidth="1"/>
    <col min="4" max="4" width="31.28515625" customWidth="1"/>
  </cols>
  <sheetData>
    <row r="1" spans="1:11" ht="54" customHeight="1">
      <c r="A1" s="124" t="s">
        <v>74</v>
      </c>
      <c r="B1" s="124"/>
      <c r="C1" s="124"/>
      <c r="D1" s="124"/>
      <c r="E1" s="64"/>
      <c r="F1" s="64"/>
      <c r="G1" s="64"/>
      <c r="H1" s="64"/>
      <c r="I1" s="64"/>
      <c r="J1" s="64"/>
      <c r="K1" s="64"/>
    </row>
    <row r="2" spans="1:11" ht="88.5" customHeight="1">
      <c r="A2" s="125" t="s">
        <v>82</v>
      </c>
      <c r="B2" s="125"/>
      <c r="C2" s="125"/>
      <c r="D2" s="125"/>
      <c r="E2" s="65"/>
      <c r="F2" s="65"/>
      <c r="G2" s="66"/>
      <c r="H2" s="66"/>
      <c r="I2" s="66"/>
      <c r="J2" s="66"/>
    </row>
    <row r="3" spans="1:11" ht="15.75" thickBot="1"/>
    <row r="4" spans="1:11">
      <c r="A4" s="67" t="s">
        <v>75</v>
      </c>
      <c r="B4" s="68" t="s">
        <v>76</v>
      </c>
      <c r="C4" s="69" t="s">
        <v>77</v>
      </c>
      <c r="D4" s="70" t="s">
        <v>78</v>
      </c>
    </row>
    <row r="5" spans="1:11">
      <c r="A5" s="71">
        <v>1</v>
      </c>
      <c r="B5" s="72" t="s">
        <v>80</v>
      </c>
      <c r="C5" s="73" t="s">
        <v>81</v>
      </c>
      <c r="D5" s="74">
        <v>20</v>
      </c>
    </row>
    <row r="6" spans="1:11">
      <c r="A6" s="71">
        <v>2</v>
      </c>
      <c r="B6" s="79" t="s">
        <v>83</v>
      </c>
      <c r="C6" s="73" t="s">
        <v>79</v>
      </c>
      <c r="D6" s="74">
        <v>17</v>
      </c>
    </row>
    <row r="7" spans="1:11">
      <c r="A7" s="71">
        <v>3</v>
      </c>
      <c r="B7" s="72" t="s">
        <v>84</v>
      </c>
      <c r="C7" s="73" t="s">
        <v>85</v>
      </c>
      <c r="D7" s="74">
        <v>15</v>
      </c>
    </row>
    <row r="8" spans="1:11">
      <c r="A8" s="71">
        <v>4</v>
      </c>
      <c r="B8" s="72" t="s">
        <v>86</v>
      </c>
      <c r="C8" s="73" t="s">
        <v>85</v>
      </c>
      <c r="D8" s="74">
        <v>14</v>
      </c>
    </row>
    <row r="9" spans="1:11">
      <c r="A9" s="71">
        <v>5</v>
      </c>
      <c r="B9" s="72" t="s">
        <v>87</v>
      </c>
      <c r="C9" s="73" t="s">
        <v>85</v>
      </c>
      <c r="D9" s="74">
        <v>13</v>
      </c>
    </row>
    <row r="10" spans="1:11">
      <c r="A10" s="71">
        <v>6</v>
      </c>
      <c r="B10" s="72" t="s">
        <v>88</v>
      </c>
      <c r="C10" s="73" t="s">
        <v>85</v>
      </c>
      <c r="D10" s="74">
        <v>12</v>
      </c>
    </row>
    <row r="11" spans="1:11">
      <c r="A11" s="71">
        <v>7</v>
      </c>
      <c r="B11" s="72" t="s">
        <v>89</v>
      </c>
      <c r="C11" s="73" t="s">
        <v>85</v>
      </c>
      <c r="D11" s="74">
        <v>11</v>
      </c>
    </row>
    <row r="12" spans="1:11">
      <c r="A12" s="71">
        <v>8</v>
      </c>
      <c r="B12" s="72" t="s">
        <v>90</v>
      </c>
      <c r="C12" s="73" t="s">
        <v>85</v>
      </c>
      <c r="D12" s="74">
        <v>10</v>
      </c>
    </row>
    <row r="13" spans="1:11">
      <c r="A13" s="71">
        <v>9</v>
      </c>
      <c r="B13" s="72" t="s">
        <v>91</v>
      </c>
      <c r="C13" s="73" t="s">
        <v>85</v>
      </c>
      <c r="D13" s="74">
        <v>9</v>
      </c>
    </row>
    <row r="14" spans="1:11">
      <c r="A14" s="71">
        <v>10</v>
      </c>
      <c r="B14" s="72" t="s">
        <v>92</v>
      </c>
      <c r="C14" s="73" t="s">
        <v>93</v>
      </c>
      <c r="D14" s="74">
        <v>8</v>
      </c>
    </row>
    <row r="15" spans="1:11">
      <c r="A15" s="71">
        <v>11</v>
      </c>
      <c r="B15" s="72" t="s">
        <v>94</v>
      </c>
      <c r="C15" s="73" t="s">
        <v>85</v>
      </c>
      <c r="D15" s="74">
        <v>7</v>
      </c>
    </row>
    <row r="16" spans="1:11" ht="15.75" thickBot="1">
      <c r="A16" s="75">
        <v>12</v>
      </c>
      <c r="B16" s="76" t="s">
        <v>95</v>
      </c>
      <c r="C16" s="77" t="s">
        <v>85</v>
      </c>
      <c r="D16" s="78">
        <v>6</v>
      </c>
    </row>
    <row r="18" spans="1:7" ht="21">
      <c r="A18" s="61"/>
      <c r="B18" s="61"/>
      <c r="C18" s="61"/>
      <c r="D18" s="61"/>
      <c r="E18" s="61"/>
      <c r="F18" s="61"/>
      <c r="G18" s="55"/>
    </row>
    <row r="19" spans="1:7" ht="19.5" customHeight="1">
      <c r="A19" s="61" t="s">
        <v>122</v>
      </c>
      <c r="B19" s="61"/>
      <c r="C19" s="61"/>
      <c r="D19" s="61"/>
      <c r="E19" s="61"/>
      <c r="F19" s="61"/>
      <c r="G19" s="55"/>
    </row>
    <row r="20" spans="1:7" ht="15" customHeight="1">
      <c r="A20" s="61"/>
      <c r="B20" s="61"/>
      <c r="C20" s="61"/>
      <c r="D20" s="61"/>
      <c r="E20" s="61"/>
      <c r="F20" s="61"/>
      <c r="G20" s="55"/>
    </row>
    <row r="21" spans="1:7" ht="21">
      <c r="A21" s="61"/>
      <c r="B21" s="61"/>
      <c r="C21" s="61"/>
      <c r="D21" s="61"/>
      <c r="E21" s="61"/>
      <c r="F21" s="61"/>
      <c r="G21" s="55"/>
    </row>
    <row r="22" spans="1:7" ht="21">
      <c r="A22" s="61" t="s">
        <v>96</v>
      </c>
      <c r="B22" s="61"/>
      <c r="C22" s="61"/>
      <c r="D22" s="61"/>
      <c r="E22" s="61"/>
      <c r="F22" s="61"/>
      <c r="G22" s="55"/>
    </row>
  </sheetData>
  <mergeCells count="2">
    <mergeCell ref="A1:D1"/>
    <mergeCell ref="A2:D2"/>
  </mergeCells>
  <phoneticPr fontId="9" type="noConversion"/>
  <pageMargins left="0.75" right="0.49" top="0.7" bottom="1" header="0.5" footer="0.5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6"/>
  <sheetViews>
    <sheetView zoomScaleNormal="100" workbookViewId="0">
      <selection activeCell="F17" sqref="F17"/>
    </sheetView>
  </sheetViews>
  <sheetFormatPr defaultRowHeight="15"/>
  <cols>
    <col min="2" max="2" width="25.7109375" customWidth="1"/>
    <col min="3" max="3" width="22.42578125" customWidth="1"/>
    <col min="4" max="4" width="31.28515625" customWidth="1"/>
  </cols>
  <sheetData>
    <row r="1" spans="1:11" ht="54" customHeight="1">
      <c r="A1" s="124" t="s">
        <v>74</v>
      </c>
      <c r="B1" s="124"/>
      <c r="C1" s="124"/>
      <c r="D1" s="124"/>
      <c r="E1" s="64"/>
      <c r="F1" s="64"/>
      <c r="G1" s="64"/>
      <c r="H1" s="64"/>
      <c r="I1" s="64"/>
      <c r="J1" s="64"/>
      <c r="K1" s="64"/>
    </row>
    <row r="2" spans="1:11" ht="88.5" customHeight="1">
      <c r="A2" s="125" t="s">
        <v>97</v>
      </c>
      <c r="B2" s="125"/>
      <c r="C2" s="125"/>
      <c r="D2" s="125"/>
      <c r="E2" s="65"/>
      <c r="F2" s="65"/>
      <c r="G2" s="66"/>
      <c r="H2" s="66"/>
      <c r="I2" s="66"/>
      <c r="J2" s="66"/>
    </row>
    <row r="3" spans="1:11" ht="15.75" thickBot="1"/>
    <row r="4" spans="1:11">
      <c r="A4" s="67" t="s">
        <v>75</v>
      </c>
      <c r="B4" s="68" t="s">
        <v>76</v>
      </c>
      <c r="C4" s="69" t="s">
        <v>77</v>
      </c>
      <c r="D4" s="70" t="s">
        <v>78</v>
      </c>
    </row>
    <row r="5" spans="1:11">
      <c r="A5" s="71">
        <v>1</v>
      </c>
      <c r="B5" s="72" t="s">
        <v>98</v>
      </c>
      <c r="C5" s="73" t="s">
        <v>85</v>
      </c>
      <c r="D5" s="74">
        <v>20</v>
      </c>
    </row>
    <row r="6" spans="1:11">
      <c r="A6" s="71">
        <v>2</v>
      </c>
      <c r="B6" s="79" t="s">
        <v>99</v>
      </c>
      <c r="C6" s="73" t="s">
        <v>85</v>
      </c>
      <c r="D6" s="74">
        <v>17</v>
      </c>
    </row>
    <row r="7" spans="1:11">
      <c r="A7" s="71">
        <v>3</v>
      </c>
      <c r="B7" s="72" t="s">
        <v>100</v>
      </c>
      <c r="C7" s="73" t="s">
        <v>101</v>
      </c>
      <c r="D7" s="74">
        <v>15</v>
      </c>
    </row>
    <row r="8" spans="1:11">
      <c r="A8" s="71">
        <v>4</v>
      </c>
      <c r="B8" s="72" t="s">
        <v>102</v>
      </c>
      <c r="C8" s="73" t="s">
        <v>101</v>
      </c>
      <c r="D8" s="74">
        <v>14</v>
      </c>
    </row>
    <row r="9" spans="1:11">
      <c r="A9" s="71">
        <v>5</v>
      </c>
      <c r="B9" s="72" t="s">
        <v>103</v>
      </c>
      <c r="C9" s="73" t="s">
        <v>85</v>
      </c>
      <c r="D9" s="74">
        <v>13</v>
      </c>
    </row>
    <row r="10" spans="1:11" ht="15.75" thickBot="1">
      <c r="A10" s="75">
        <v>6</v>
      </c>
      <c r="B10" s="76" t="s">
        <v>104</v>
      </c>
      <c r="C10" s="77" t="s">
        <v>93</v>
      </c>
      <c r="D10" s="78">
        <v>12</v>
      </c>
    </row>
    <row r="12" spans="1:11" ht="21">
      <c r="A12" s="61"/>
      <c r="B12" s="61"/>
      <c r="C12" s="61"/>
      <c r="D12" s="61"/>
      <c r="E12" s="61"/>
      <c r="F12" s="61"/>
      <c r="G12" s="55"/>
    </row>
    <row r="13" spans="1:11" ht="19.5" customHeight="1">
      <c r="A13" s="61" t="s">
        <v>122</v>
      </c>
      <c r="B13" s="61"/>
      <c r="C13" s="61"/>
      <c r="D13" s="61"/>
      <c r="E13" s="61"/>
      <c r="F13" s="61"/>
      <c r="G13" s="55"/>
    </row>
    <row r="14" spans="1:11" ht="15" customHeight="1">
      <c r="A14" s="61"/>
      <c r="B14" s="61"/>
      <c r="C14" s="61"/>
      <c r="D14" s="61"/>
      <c r="E14" s="61"/>
      <c r="F14" s="61"/>
      <c r="G14" s="55"/>
    </row>
    <row r="15" spans="1:11" ht="21">
      <c r="A15" s="61"/>
      <c r="B15" s="61"/>
      <c r="C15" s="61"/>
      <c r="D15" s="61"/>
      <c r="E15" s="61"/>
      <c r="F15" s="61"/>
      <c r="G15" s="55"/>
    </row>
    <row r="16" spans="1:11" ht="21">
      <c r="A16" s="61" t="s">
        <v>96</v>
      </c>
      <c r="B16" s="61"/>
      <c r="C16" s="61"/>
      <c r="D16" s="61"/>
      <c r="E16" s="61"/>
      <c r="F16" s="61"/>
      <c r="G16" s="55"/>
    </row>
  </sheetData>
  <mergeCells count="2">
    <mergeCell ref="A1:D1"/>
    <mergeCell ref="A2:D2"/>
  </mergeCells>
  <phoneticPr fontId="9" type="noConversion"/>
  <pageMargins left="0.75" right="0.49" top="0.7" bottom="1" header="0.5" footer="0.5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38"/>
  <sheetViews>
    <sheetView tabSelected="1" topLeftCell="A10" zoomScaleNormal="100" workbookViewId="0">
      <selection activeCell="B23" sqref="B23"/>
    </sheetView>
  </sheetViews>
  <sheetFormatPr defaultRowHeight="15"/>
  <cols>
    <col min="2" max="2" width="25.7109375" customWidth="1"/>
    <col min="3" max="3" width="22.42578125" customWidth="1"/>
    <col min="4" max="4" width="31.28515625" customWidth="1"/>
  </cols>
  <sheetData>
    <row r="1" spans="1:11" ht="54" customHeight="1">
      <c r="A1" s="124" t="s">
        <v>74</v>
      </c>
      <c r="B1" s="124"/>
      <c r="C1" s="124"/>
      <c r="D1" s="124"/>
      <c r="E1" s="64"/>
      <c r="F1" s="64"/>
      <c r="G1" s="64"/>
      <c r="H1" s="64"/>
      <c r="I1" s="64"/>
      <c r="J1" s="64"/>
      <c r="K1" s="64"/>
    </row>
    <row r="2" spans="1:11" ht="99" customHeight="1">
      <c r="A2" s="125" t="s">
        <v>121</v>
      </c>
      <c r="B2" s="125"/>
      <c r="C2" s="125"/>
      <c r="D2" s="125"/>
      <c r="E2" s="65"/>
      <c r="F2" s="65"/>
      <c r="G2" s="66"/>
      <c r="H2" s="66"/>
      <c r="I2" s="66"/>
      <c r="J2" s="66"/>
    </row>
    <row r="3" spans="1:11" ht="15.75" thickBot="1"/>
    <row r="4" spans="1:11">
      <c r="A4" s="67" t="s">
        <v>75</v>
      </c>
      <c r="B4" s="68" t="s">
        <v>76</v>
      </c>
      <c r="C4" s="69" t="s">
        <v>77</v>
      </c>
      <c r="D4" s="70" t="s">
        <v>78</v>
      </c>
    </row>
    <row r="5" spans="1:11">
      <c r="A5" s="71">
        <v>1</v>
      </c>
      <c r="B5" s="72" t="s">
        <v>80</v>
      </c>
      <c r="C5" s="73" t="s">
        <v>81</v>
      </c>
      <c r="D5" s="74">
        <v>20</v>
      </c>
    </row>
    <row r="6" spans="1:11">
      <c r="A6" s="71">
        <v>1</v>
      </c>
      <c r="B6" s="79" t="s">
        <v>99</v>
      </c>
      <c r="C6" s="73" t="s">
        <v>85</v>
      </c>
      <c r="D6" s="74">
        <v>20</v>
      </c>
    </row>
    <row r="7" spans="1:11">
      <c r="A7" s="71">
        <v>2</v>
      </c>
      <c r="B7" s="72" t="s">
        <v>84</v>
      </c>
      <c r="C7" s="73" t="s">
        <v>85</v>
      </c>
      <c r="D7" s="74">
        <v>17</v>
      </c>
    </row>
    <row r="8" spans="1:11">
      <c r="A8" s="71">
        <v>2</v>
      </c>
      <c r="B8" s="72" t="s">
        <v>105</v>
      </c>
      <c r="C8" s="73" t="s">
        <v>85</v>
      </c>
      <c r="D8" s="74">
        <v>17</v>
      </c>
    </row>
    <row r="9" spans="1:11">
      <c r="A9" s="71">
        <v>3</v>
      </c>
      <c r="B9" s="72" t="s">
        <v>106</v>
      </c>
      <c r="C9" s="73" t="s">
        <v>79</v>
      </c>
      <c r="D9" s="74">
        <v>15</v>
      </c>
    </row>
    <row r="10" spans="1:11">
      <c r="A10" s="71">
        <v>3</v>
      </c>
      <c r="B10" s="72" t="s">
        <v>107</v>
      </c>
      <c r="C10" s="73" t="s">
        <v>79</v>
      </c>
      <c r="D10" s="74">
        <v>15</v>
      </c>
    </row>
    <row r="11" spans="1:11">
      <c r="A11" s="71">
        <v>4</v>
      </c>
      <c r="B11" s="72" t="s">
        <v>108</v>
      </c>
      <c r="C11" s="73" t="s">
        <v>85</v>
      </c>
      <c r="D11" s="74">
        <v>14</v>
      </c>
    </row>
    <row r="12" spans="1:11">
      <c r="A12" s="71">
        <v>4</v>
      </c>
      <c r="B12" s="72" t="s">
        <v>109</v>
      </c>
      <c r="C12" s="73" t="s">
        <v>85</v>
      </c>
      <c r="D12" s="74">
        <v>14</v>
      </c>
    </row>
    <row r="13" spans="1:11">
      <c r="A13" s="71">
        <v>5</v>
      </c>
      <c r="B13" s="72" t="s">
        <v>87</v>
      </c>
      <c r="C13" s="73" t="s">
        <v>85</v>
      </c>
      <c r="D13" s="74">
        <v>13</v>
      </c>
    </row>
    <row r="14" spans="1:11">
      <c r="A14" s="71">
        <v>5</v>
      </c>
      <c r="B14" s="72" t="s">
        <v>98</v>
      </c>
      <c r="C14" s="73" t="s">
        <v>85</v>
      </c>
      <c r="D14" s="74">
        <v>13</v>
      </c>
    </row>
    <row r="15" spans="1:11">
      <c r="A15" s="71">
        <v>6</v>
      </c>
      <c r="B15" s="72" t="s">
        <v>83</v>
      </c>
      <c r="C15" s="73" t="s">
        <v>79</v>
      </c>
      <c r="D15" s="74">
        <v>12</v>
      </c>
    </row>
    <row r="16" spans="1:11">
      <c r="A16" s="71">
        <v>6</v>
      </c>
      <c r="B16" s="72" t="s">
        <v>102</v>
      </c>
      <c r="C16" s="73" t="s">
        <v>101</v>
      </c>
      <c r="D16" s="74">
        <v>12</v>
      </c>
    </row>
    <row r="17" spans="1:4">
      <c r="A17" s="71">
        <v>7</v>
      </c>
      <c r="B17" s="72" t="s">
        <v>110</v>
      </c>
      <c r="C17" s="73" t="s">
        <v>85</v>
      </c>
      <c r="D17" s="74">
        <v>11</v>
      </c>
    </row>
    <row r="18" spans="1:4">
      <c r="A18" s="71">
        <v>7</v>
      </c>
      <c r="B18" s="72" t="s">
        <v>111</v>
      </c>
      <c r="C18" s="73" t="s">
        <v>85</v>
      </c>
      <c r="D18" s="74">
        <v>11</v>
      </c>
    </row>
    <row r="19" spans="1:4">
      <c r="A19" s="71">
        <v>8</v>
      </c>
      <c r="B19" s="72" t="s">
        <v>95</v>
      </c>
      <c r="C19" s="73" t="s">
        <v>85</v>
      </c>
      <c r="D19" s="74">
        <v>10</v>
      </c>
    </row>
    <row r="20" spans="1:4">
      <c r="A20" s="71">
        <v>8</v>
      </c>
      <c r="B20" s="72" t="s">
        <v>112</v>
      </c>
      <c r="C20" s="73" t="s">
        <v>85</v>
      </c>
      <c r="D20" s="74">
        <v>10</v>
      </c>
    </row>
    <row r="21" spans="1:4">
      <c r="A21" s="71">
        <v>9</v>
      </c>
      <c r="B21" s="72" t="s">
        <v>113</v>
      </c>
      <c r="C21" s="73" t="s">
        <v>85</v>
      </c>
      <c r="D21" s="74">
        <v>9</v>
      </c>
    </row>
    <row r="22" spans="1:4">
      <c r="A22" s="71">
        <v>9</v>
      </c>
      <c r="B22" s="72" t="s">
        <v>123</v>
      </c>
      <c r="C22" s="73" t="s">
        <v>85</v>
      </c>
      <c r="D22" s="74">
        <v>9</v>
      </c>
    </row>
    <row r="23" spans="1:4">
      <c r="A23" s="71">
        <v>10</v>
      </c>
      <c r="B23" s="72" t="s">
        <v>90</v>
      </c>
      <c r="C23" s="73" t="s">
        <v>85</v>
      </c>
      <c r="D23" s="74">
        <v>8</v>
      </c>
    </row>
    <row r="24" spans="1:4">
      <c r="A24" s="71">
        <v>10</v>
      </c>
      <c r="B24" s="72" t="s">
        <v>100</v>
      </c>
      <c r="C24" s="73" t="s">
        <v>101</v>
      </c>
      <c r="D24" s="74">
        <v>8</v>
      </c>
    </row>
    <row r="25" spans="1:4">
      <c r="A25" s="71">
        <v>11</v>
      </c>
      <c r="B25" s="72" t="s">
        <v>114</v>
      </c>
      <c r="C25" s="73" t="s">
        <v>85</v>
      </c>
      <c r="D25" s="74">
        <v>7</v>
      </c>
    </row>
    <row r="26" spans="1:4">
      <c r="A26" s="71">
        <v>11</v>
      </c>
      <c r="B26" s="72" t="s">
        <v>115</v>
      </c>
      <c r="C26" s="73" t="s">
        <v>85</v>
      </c>
      <c r="D26" s="74">
        <v>7</v>
      </c>
    </row>
    <row r="27" spans="1:4">
      <c r="A27" s="71">
        <v>12</v>
      </c>
      <c r="B27" s="72" t="s">
        <v>94</v>
      </c>
      <c r="C27" s="73" t="s">
        <v>85</v>
      </c>
      <c r="D27" s="74">
        <v>6</v>
      </c>
    </row>
    <row r="28" spans="1:4">
      <c r="A28" s="71">
        <v>12</v>
      </c>
      <c r="B28" s="72" t="s">
        <v>116</v>
      </c>
      <c r="C28" s="73" t="s">
        <v>85</v>
      </c>
      <c r="D28" s="74">
        <v>6</v>
      </c>
    </row>
    <row r="29" spans="1:4">
      <c r="A29" s="71">
        <v>13</v>
      </c>
      <c r="B29" s="72" t="s">
        <v>117</v>
      </c>
      <c r="C29" s="73" t="s">
        <v>85</v>
      </c>
      <c r="D29" s="74">
        <v>5</v>
      </c>
    </row>
    <row r="30" spans="1:4">
      <c r="A30" s="71">
        <v>13</v>
      </c>
      <c r="B30" s="72" t="s">
        <v>118</v>
      </c>
      <c r="C30" s="73" t="s">
        <v>85</v>
      </c>
      <c r="D30" s="74">
        <v>5</v>
      </c>
    </row>
    <row r="31" spans="1:4">
      <c r="A31" s="71">
        <v>14</v>
      </c>
      <c r="B31" s="72" t="s">
        <v>119</v>
      </c>
      <c r="C31" s="73" t="s">
        <v>85</v>
      </c>
      <c r="D31" s="74">
        <v>4</v>
      </c>
    </row>
    <row r="32" spans="1:4" ht="15.75" thickBot="1">
      <c r="A32" s="75">
        <v>14</v>
      </c>
      <c r="B32" s="76" t="s">
        <v>120</v>
      </c>
      <c r="C32" s="77" t="s">
        <v>85</v>
      </c>
      <c r="D32" s="78">
        <v>4</v>
      </c>
    </row>
    <row r="34" spans="1:7" ht="21">
      <c r="A34" s="61"/>
      <c r="B34" s="61"/>
      <c r="C34" s="61"/>
      <c r="D34" s="61"/>
      <c r="E34" s="61"/>
      <c r="F34" s="61"/>
      <c r="G34" s="55"/>
    </row>
    <row r="35" spans="1:7" ht="19.5" customHeight="1">
      <c r="A35" s="61" t="s">
        <v>122</v>
      </c>
      <c r="B35" s="61"/>
      <c r="C35" s="61"/>
      <c r="D35" s="61"/>
      <c r="E35" s="61"/>
      <c r="F35" s="61"/>
      <c r="G35" s="55"/>
    </row>
    <row r="36" spans="1:7" ht="15" customHeight="1">
      <c r="A36" s="61"/>
      <c r="B36" s="61"/>
      <c r="C36" s="61"/>
      <c r="D36" s="61"/>
      <c r="E36" s="61"/>
      <c r="F36" s="61"/>
      <c r="G36" s="55"/>
    </row>
    <row r="37" spans="1:7" ht="21">
      <c r="A37" s="61"/>
      <c r="B37" s="61"/>
      <c r="C37" s="61"/>
      <c r="D37" s="61"/>
      <c r="E37" s="61"/>
      <c r="F37" s="61"/>
      <c r="G37" s="55"/>
    </row>
    <row r="38" spans="1:7" ht="21">
      <c r="A38" s="61" t="s">
        <v>96</v>
      </c>
      <c r="B38" s="61"/>
      <c r="C38" s="61"/>
      <c r="D38" s="61"/>
      <c r="E38" s="61"/>
      <c r="F38" s="61"/>
      <c r="G38" s="55"/>
    </row>
  </sheetData>
  <mergeCells count="2">
    <mergeCell ref="A1:D1"/>
    <mergeCell ref="A2:D2"/>
  </mergeCells>
  <phoneticPr fontId="9" type="noConversion"/>
  <pageMargins left="0.75" right="0.49" top="0.7" bottom="1" header="0.5" footer="0.5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9"/>
  <dimension ref="A1:AB67"/>
  <sheetViews>
    <sheetView topLeftCell="K7" workbookViewId="0">
      <selection activeCell="L28" sqref="L28:S43"/>
    </sheetView>
  </sheetViews>
  <sheetFormatPr defaultRowHeight="15"/>
  <cols>
    <col min="9" max="10" width="9.140625" style="9"/>
  </cols>
  <sheetData>
    <row r="1" spans="1:28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>
      <c r="I24" s="9" t="e">
        <f>#REF!&amp;#REF!</f>
        <v>#REF!</v>
      </c>
      <c r="J24" s="9" t="e">
        <f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>
      <c r="I25" s="9" t="e">
        <f>#REF!&amp;#REF!</f>
        <v>#REF!</v>
      </c>
      <c r="J25" s="9" t="e">
        <f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>
      <c r="I26" s="9" t="e">
        <f>#REF!&amp;#REF!</f>
        <v>#REF!</v>
      </c>
      <c r="J26" s="9" t="e">
        <f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>
      <c r="I27" s="9" t="e">
        <f>#REF!&amp;#REF!</f>
        <v>#REF!</v>
      </c>
      <c r="J27" s="9" t="e">
        <f>#REF!&amp;#REF!</f>
        <v>#REF!</v>
      </c>
    </row>
    <row r="28" spans="9:28">
      <c r="I28" s="9" t="e">
        <f>#REF!&amp;#REF!</f>
        <v>#REF!</v>
      </c>
      <c r="J28" s="9" t="e">
        <f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>
      <c r="I30" s="9" t="e">
        <f>#REF!&amp;#REF!</f>
        <v>#REF!</v>
      </c>
      <c r="J30" s="9" t="e">
        <f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>
      <c r="I31" s="9" t="e">
        <f>#REF!&amp;#REF!</f>
        <v>#REF!</v>
      </c>
      <c r="J31" s="9" t="e">
        <f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>
      <c r="I32" s="9" t="e">
        <f>#REF!&amp;#REF!</f>
        <v>#REF!</v>
      </c>
      <c r="J32" s="9" t="e">
        <f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>
      <c r="I33" s="9" t="e">
        <f>#REF!&amp;#REF!</f>
        <v>#REF!</v>
      </c>
      <c r="J33" s="9" t="e">
        <f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>
      <c r="I34" s="9" t="e">
        <f>#REF!&amp;#REF!</f>
        <v>#REF!</v>
      </c>
      <c r="J34" s="9" t="e">
        <f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>
      <c r="I36" s="9" t="e">
        <f>#REF!&amp;#REF!</f>
        <v>#REF!</v>
      </c>
      <c r="J36" s="9" t="e">
        <f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>
      <c r="I37" s="9" t="e">
        <f>#REF!&amp;#REF!</f>
        <v>#REF!</v>
      </c>
      <c r="J37" s="9" t="e">
        <f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>
      <c r="I38" s="9" t="e">
        <f>#REF!&amp;#REF!</f>
        <v>#REF!</v>
      </c>
      <c r="J38" s="9" t="e">
        <f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>
      <c r="I39" s="9" t="e">
        <f>#REF!&amp;#REF!</f>
        <v>#REF!</v>
      </c>
      <c r="J39" s="9" t="e">
        <f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>
      <c r="I40" s="9" t="e">
        <f>#REF!&amp;#REF!</f>
        <v>#REF!</v>
      </c>
      <c r="J40" s="9" t="e">
        <f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>
      <c r="I42" s="9" t="e">
        <f>#REF!&amp;#REF!</f>
        <v>#REF!</v>
      </c>
      <c r="J42" s="9" t="e">
        <f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>
      <c r="I43" s="9" t="e">
        <f>#REF!&amp;#REF!</f>
        <v>#REF!</v>
      </c>
      <c r="J43" s="9" t="e">
        <f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>
      <c r="I44" s="9" t="e">
        <f>#REF!&amp;#REF!</f>
        <v>#REF!</v>
      </c>
      <c r="J44" s="9" t="e">
        <f>#REF!&amp;#REF!</f>
        <v>#REF!</v>
      </c>
    </row>
    <row r="45" spans="9:19">
      <c r="I45" s="9" t="e">
        <f>#REF!&amp;#REF!</f>
        <v>#REF!</v>
      </c>
      <c r="J45" s="9" t="e">
        <f>#REF!&amp;#REF!</f>
        <v>#REF!</v>
      </c>
    </row>
    <row r="46" spans="9:19">
      <c r="I46" s="9" t="e">
        <f>#REF!&amp;#REF!</f>
        <v>#REF!</v>
      </c>
      <c r="J46" s="9" t="e">
        <f>#REF!&amp;#REF!</f>
        <v>#REF!</v>
      </c>
    </row>
    <row r="48" spans="9:19">
      <c r="I48" s="9" t="e">
        <f>#REF!&amp;#REF!</f>
        <v>#REF!</v>
      </c>
      <c r="J48" s="9" t="e">
        <f>#REF!&amp;#REF!</f>
        <v>#REF!</v>
      </c>
    </row>
    <row r="49" spans="9:10">
      <c r="I49" s="9" t="e">
        <f>#REF!&amp;#REF!</f>
        <v>#REF!</v>
      </c>
      <c r="J49" s="9" t="e">
        <f>#REF!&amp;#REF!</f>
        <v>#REF!</v>
      </c>
    </row>
    <row r="50" spans="9:10">
      <c r="I50" s="9" t="e">
        <f>#REF!&amp;#REF!</f>
        <v>#REF!</v>
      </c>
      <c r="J50" s="9" t="e">
        <f>#REF!&amp;#REF!</f>
        <v>#REF!</v>
      </c>
    </row>
    <row r="51" spans="9:10">
      <c r="I51" s="9" t="e">
        <f>#REF!&amp;#REF!</f>
        <v>#REF!</v>
      </c>
      <c r="J51" s="9" t="e">
        <f>#REF!&amp;#REF!</f>
        <v>#REF!</v>
      </c>
    </row>
    <row r="52" spans="9:10">
      <c r="I52" s="9" t="e">
        <f>#REF!&amp;#REF!</f>
        <v>#REF!</v>
      </c>
      <c r="J52" s="9" t="e">
        <f>#REF!&amp;#REF!</f>
        <v>#REF!</v>
      </c>
    </row>
    <row r="54" spans="9:10">
      <c r="I54" s="9" t="e">
        <f>#REF!&amp;#REF!</f>
        <v>#REF!</v>
      </c>
      <c r="J54" s="9" t="e">
        <f>#REF!&amp;#REF!</f>
        <v>#REF!</v>
      </c>
    </row>
    <row r="55" spans="9:10">
      <c r="I55" s="9" t="e">
        <f>#REF!&amp;#REF!</f>
        <v>#REF!</v>
      </c>
      <c r="J55" s="9" t="e">
        <f>#REF!&amp;#REF!</f>
        <v>#REF!</v>
      </c>
    </row>
    <row r="56" spans="9:10">
      <c r="I56" s="9" t="e">
        <f>#REF!&amp;#REF!</f>
        <v>#REF!</v>
      </c>
      <c r="J56" s="9" t="e">
        <f>#REF!&amp;#REF!</f>
        <v>#REF!</v>
      </c>
    </row>
    <row r="57" spans="9:10">
      <c r="I57" s="9" t="e">
        <f>#REF!&amp;#REF!</f>
        <v>#REF!</v>
      </c>
      <c r="J57" s="9" t="e">
        <f>#REF!&amp;#REF!</f>
        <v>#REF!</v>
      </c>
    </row>
    <row r="58" spans="9:10">
      <c r="I58" s="9" t="e">
        <f>#REF!&amp;#REF!</f>
        <v>#REF!</v>
      </c>
      <c r="J58" s="9" t="e">
        <f>#REF!&amp;#REF!</f>
        <v>#REF!</v>
      </c>
    </row>
    <row r="60" spans="9:10">
      <c r="I60" s="9" t="e">
        <f>#REF!&amp;#REF!</f>
        <v>#REF!</v>
      </c>
      <c r="J60" s="9" t="e">
        <f>#REF!&amp;#REF!</f>
        <v>#REF!</v>
      </c>
    </row>
    <row r="61" spans="9:10">
      <c r="I61" s="9" t="e">
        <f>#REF!&amp;#REF!</f>
        <v>#REF!</v>
      </c>
      <c r="J61" s="9" t="e">
        <f>#REF!&amp;#REF!</f>
        <v>#REF!</v>
      </c>
    </row>
    <row r="62" spans="9:10">
      <c r="I62" s="9" t="e">
        <f>#REF!&amp;#REF!</f>
        <v>#REF!</v>
      </c>
      <c r="J62" s="9" t="e">
        <f>#REF!&amp;#REF!</f>
        <v>#REF!</v>
      </c>
    </row>
    <row r="63" spans="9:10">
      <c r="I63" s="9" t="e">
        <f>#REF!&amp;#REF!</f>
        <v>#REF!</v>
      </c>
      <c r="J63" s="9" t="e">
        <f>#REF!&amp;#REF!</f>
        <v>#REF!</v>
      </c>
    </row>
    <row r="67" spans="12:12">
      <c r="L67" t="s">
        <v>10</v>
      </c>
    </row>
  </sheetData>
  <sheetCalcPr fullCalcOnLoad="1"/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9"/>
  <sheetViews>
    <sheetView topLeftCell="A31" workbookViewId="0">
      <selection activeCell="I54" sqref="I54"/>
    </sheetView>
  </sheetViews>
  <sheetFormatPr defaultRowHeight="15"/>
  <cols>
    <col min="1" max="1" width="4" style="30" customWidth="1"/>
    <col min="2" max="12" width="10.28515625" customWidth="1"/>
    <col min="13" max="13" width="10.28515625" style="38" customWidth="1"/>
    <col min="14" max="15" width="10.28515625" customWidth="1"/>
  </cols>
  <sheetData>
    <row r="1" spans="2:14" ht="38.25" customHeight="1">
      <c r="B1" s="82" t="s">
        <v>28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42" customHeight="1" thickBot="1">
      <c r="B2" s="83" t="s">
        <v>31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2:14" ht="30" customHeight="1" thickBot="1">
      <c r="B3" s="25"/>
      <c r="C3" s="85" t="s">
        <v>0</v>
      </c>
      <c r="D3" s="86"/>
      <c r="E3" s="87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>
      <c r="B4" s="88">
        <v>1</v>
      </c>
      <c r="C4" s="90" t="s">
        <v>32</v>
      </c>
      <c r="D4" s="91"/>
      <c r="E4" s="92"/>
      <c r="F4" s="10" t="s">
        <v>7</v>
      </c>
      <c r="G4" s="6" t="str">
        <f ca="1">INDIRECT(ADDRESS(27,6))&amp;":"&amp;INDIRECT(ADDRESS(27,7))</f>
        <v>13:8</v>
      </c>
      <c r="H4" s="6" t="str">
        <f ca="1">INDIRECT(ADDRESS(31,7))&amp;":"&amp;INDIRECT(ADDRESS(31,6))</f>
        <v>13:9</v>
      </c>
      <c r="I4" s="6" t="str">
        <f ca="1">INDIRECT(ADDRESS(36,6))&amp;":"&amp;INDIRECT(ADDRESS(36,7))</f>
        <v>13:7</v>
      </c>
      <c r="J4" s="6" t="str">
        <f ca="1">INDIRECT(ADDRESS(42,7))&amp;":"&amp;INDIRECT(ADDRESS(42,6))</f>
        <v>13:2</v>
      </c>
      <c r="K4" s="21" t="str">
        <f ca="1">INDIRECT(ADDRESS(20,6))&amp;":"&amp;INDIRECT(ADDRESS(20,7))</f>
        <v>13:6</v>
      </c>
      <c r="L4" s="96">
        <f ca="1">IF(COUNT(F5:K5)=0,"",COUNTIF(F5:K5,"&gt;0")+0.5*COUNTIF(F5:K5,0))</f>
        <v>5</v>
      </c>
      <c r="M4" s="24"/>
      <c r="N4" s="80">
        <v>1</v>
      </c>
    </row>
    <row r="5" spans="2:14" ht="24" customHeight="1">
      <c r="B5" s="89"/>
      <c r="C5" s="93"/>
      <c r="D5" s="94"/>
      <c r="E5" s="95"/>
      <c r="F5" s="14" t="s">
        <v>7</v>
      </c>
      <c r="G5" s="17">
        <f ca="1">IF(LEN(INDIRECT(ADDRESS(ROW()-1, COLUMN())))=1,"",INDIRECT(ADDRESS(27,6))-INDIRECT(ADDRESS(27,7)))</f>
        <v>5</v>
      </c>
      <c r="H5" s="17">
        <f ca="1">IF(LEN(INDIRECT(ADDRESS(ROW()-1, COLUMN())))=1,"",INDIRECT(ADDRESS(31,7))-INDIRECT(ADDRESS(31,6)))</f>
        <v>4</v>
      </c>
      <c r="I5" s="17">
        <f ca="1">IF(LEN(INDIRECT(ADDRESS(ROW()-1, COLUMN())))=1,"",INDIRECT(ADDRESS(36,6))-INDIRECT(ADDRESS(36,7)))</f>
        <v>6</v>
      </c>
      <c r="J5" s="17">
        <f ca="1">IF(LEN(INDIRECT(ADDRESS(ROW()-1, COLUMN())))=1,"",INDIRECT(ADDRESS(42,7))-INDIRECT(ADDRESS(42,6)))</f>
        <v>11</v>
      </c>
      <c r="K5" s="18">
        <f ca="1">IF(LEN(INDIRECT(ADDRESS(ROW()-1, COLUMN())))=1,"",INDIRECT(ADDRESS(20,6))-INDIRECT(ADDRESS(20,7)))</f>
        <v>7</v>
      </c>
      <c r="L5" s="97"/>
      <c r="M5" s="17">
        <f ca="1">IF(COUNT(F5:K5)=0,"",SUM(F5:K5))</f>
        <v>33</v>
      </c>
      <c r="N5" s="81"/>
    </row>
    <row r="6" spans="2:14" ht="24" customHeight="1">
      <c r="B6" s="98">
        <v>2</v>
      </c>
      <c r="C6" s="93" t="s">
        <v>33</v>
      </c>
      <c r="D6" s="94"/>
      <c r="E6" s="95"/>
      <c r="F6" s="12" t="str">
        <f ca="1">INDIRECT(ADDRESS(27,7))&amp;":"&amp;INDIRECT(ADDRESS(27,6))</f>
        <v>8:13</v>
      </c>
      <c r="G6" s="8" t="s">
        <v>7</v>
      </c>
      <c r="H6" s="7" t="str">
        <f ca="1">INDIRECT(ADDRESS(37,6))&amp;":"&amp;INDIRECT(ADDRESS(37,7))</f>
        <v>13:8</v>
      </c>
      <c r="I6" s="7" t="str">
        <f ca="1">INDIRECT(ADDRESS(41,7))&amp;":"&amp;INDIRECT(ADDRESS(41,6))</f>
        <v>9:13</v>
      </c>
      <c r="J6" s="7" t="str">
        <f ca="1">INDIRECT(ADDRESS(21,6))&amp;":"&amp;INDIRECT(ADDRESS(21,7))</f>
        <v>12:13</v>
      </c>
      <c r="K6" s="11" t="str">
        <f ca="1">INDIRECT(ADDRESS(30,6))&amp;":"&amp;INDIRECT(ADDRESS(30,7))</f>
        <v>1:13</v>
      </c>
      <c r="L6" s="97">
        <f ca="1">IF(COUNT(F7:K7)=0,"",COUNTIF(F7:K7,"&gt;0")+0.5*COUNTIF(F7:K7,0))</f>
        <v>1</v>
      </c>
      <c r="M6" s="17">
        <v>1</v>
      </c>
      <c r="N6" s="84">
        <v>5</v>
      </c>
    </row>
    <row r="7" spans="2:14" ht="24" customHeight="1">
      <c r="B7" s="89"/>
      <c r="C7" s="93"/>
      <c r="D7" s="94"/>
      <c r="E7" s="95"/>
      <c r="F7" s="23">
        <f ca="1">IF(LEN(INDIRECT(ADDRESS(ROW()-1, COLUMN())))=1,"",INDIRECT(ADDRESS(27,7))-INDIRECT(ADDRESS(27,6)))</f>
        <v>-5</v>
      </c>
      <c r="G7" s="15" t="s">
        <v>7</v>
      </c>
      <c r="H7" s="17">
        <f ca="1">IF(LEN(INDIRECT(ADDRESS(ROW()-1, COLUMN())))=1,"",INDIRECT(ADDRESS(37,6))-INDIRECT(ADDRESS(37,7)))</f>
        <v>5</v>
      </c>
      <c r="I7" s="17">
        <f ca="1">IF(LEN(INDIRECT(ADDRESS(ROW()-1, COLUMN())))=1,"",INDIRECT(ADDRESS(41,7))-INDIRECT(ADDRESS(41,6)))</f>
        <v>-4</v>
      </c>
      <c r="J7" s="17">
        <f ca="1">IF(LEN(INDIRECT(ADDRESS(ROW()-1, COLUMN())))=1,"",INDIRECT(ADDRESS(21,6))-INDIRECT(ADDRESS(21,7)))</f>
        <v>-1</v>
      </c>
      <c r="K7" s="18">
        <f ca="1">IF(LEN(INDIRECT(ADDRESS(ROW()-1, COLUMN())))=1,"",INDIRECT(ADDRESS(30,6))-INDIRECT(ADDRESS(30,7)))</f>
        <v>-12</v>
      </c>
      <c r="L7" s="97"/>
      <c r="M7" s="17">
        <f ca="1">IF(COUNT(F7:K7)=0,"",SUM(F7:K7))</f>
        <v>-17</v>
      </c>
      <c r="N7" s="81"/>
    </row>
    <row r="8" spans="2:14" ht="24" customHeight="1">
      <c r="B8" s="98">
        <v>3</v>
      </c>
      <c r="C8" s="93" t="s">
        <v>34</v>
      </c>
      <c r="D8" s="94"/>
      <c r="E8" s="95"/>
      <c r="F8" s="12" t="str">
        <f ca="1">INDIRECT(ADDRESS(31,6))&amp;":"&amp;INDIRECT(ADDRESS(31,7))</f>
        <v>9:13</v>
      </c>
      <c r="G8" s="7" t="str">
        <f ca="1">INDIRECT(ADDRESS(37,7))&amp;":"&amp;INDIRECT(ADDRESS(37,6))</f>
        <v>8:13</v>
      </c>
      <c r="H8" s="8" t="s">
        <v>7</v>
      </c>
      <c r="I8" s="7" t="str">
        <f ca="1">INDIRECT(ADDRESS(22,6))&amp;":"&amp;INDIRECT(ADDRESS(22,7))</f>
        <v>13:11</v>
      </c>
      <c r="J8" s="7" t="str">
        <f ca="1">INDIRECT(ADDRESS(26,7))&amp;":"&amp;INDIRECT(ADDRESS(26,6))</f>
        <v>5:13</v>
      </c>
      <c r="K8" s="11" t="str">
        <f ca="1">INDIRECT(ADDRESS(40,6))&amp;":"&amp;INDIRECT(ADDRESS(40,7))</f>
        <v>12:13</v>
      </c>
      <c r="L8" s="97">
        <f ca="1">IF(COUNT(F9:K9)=0,"",COUNTIF(F9:K9,"&gt;0")+0.5*COUNTIF(F9:K9,0))</f>
        <v>1</v>
      </c>
      <c r="M8" s="17">
        <v>-3</v>
      </c>
      <c r="N8" s="84">
        <v>6</v>
      </c>
    </row>
    <row r="9" spans="2:14" ht="24" customHeight="1">
      <c r="B9" s="89"/>
      <c r="C9" s="93"/>
      <c r="D9" s="94"/>
      <c r="E9" s="95"/>
      <c r="F9" s="23">
        <f ca="1">IF(LEN(INDIRECT(ADDRESS(ROW()-1, COLUMN())))=1,"",INDIRECT(ADDRESS(31,6))-INDIRECT(ADDRESS(31,7)))</f>
        <v>-4</v>
      </c>
      <c r="G9" s="17">
        <f ca="1">IF(LEN(INDIRECT(ADDRESS(ROW()-1, COLUMN())))=1,"",INDIRECT(ADDRESS(37,7))-INDIRECT(ADDRESS(37,6)))</f>
        <v>-5</v>
      </c>
      <c r="H9" s="15" t="s">
        <v>7</v>
      </c>
      <c r="I9" s="17">
        <f ca="1">IF(LEN(INDIRECT(ADDRESS(ROW()-1, COLUMN())))=1,"",INDIRECT(ADDRESS(22,6))-INDIRECT(ADDRESS(22,7)))</f>
        <v>2</v>
      </c>
      <c r="J9" s="17">
        <f ca="1">IF(LEN(INDIRECT(ADDRESS(ROW()-1, COLUMN())))=1,"",INDIRECT(ADDRESS(26,7))-INDIRECT(ADDRESS(26,6)))</f>
        <v>-8</v>
      </c>
      <c r="K9" s="18">
        <f ca="1">IF(LEN(INDIRECT(ADDRESS(ROW()-1, COLUMN())))=1,"",INDIRECT(ADDRESS(40,6))-INDIRECT(ADDRESS(40,7)))</f>
        <v>-1</v>
      </c>
      <c r="L9" s="97"/>
      <c r="M9" s="17">
        <f ca="1">IF(COUNT(F9:K9)=0,"",SUM(F9:K9))</f>
        <v>-16</v>
      </c>
      <c r="N9" s="81"/>
    </row>
    <row r="10" spans="2:14" ht="24" customHeight="1">
      <c r="B10" s="98">
        <v>4</v>
      </c>
      <c r="C10" s="93" t="s">
        <v>35</v>
      </c>
      <c r="D10" s="94"/>
      <c r="E10" s="95"/>
      <c r="F10" s="12" t="str">
        <f ca="1">INDIRECT(ADDRESS(36,7))&amp;":"&amp;INDIRECT(ADDRESS(36,6))</f>
        <v>7:13</v>
      </c>
      <c r="G10" s="7" t="str">
        <f ca="1">INDIRECT(ADDRESS(41,6))&amp;":"&amp;INDIRECT(ADDRESS(41,7))</f>
        <v>13:9</v>
      </c>
      <c r="H10" s="7" t="str">
        <f ca="1">INDIRECT(ADDRESS(22,7))&amp;":"&amp;INDIRECT(ADDRESS(22,6))</f>
        <v>11:13</v>
      </c>
      <c r="I10" s="8" t="s">
        <v>7</v>
      </c>
      <c r="J10" s="7" t="str">
        <f ca="1">INDIRECT(ADDRESS(32,6))&amp;":"&amp;INDIRECT(ADDRESS(32,7))</f>
        <v>8:13</v>
      </c>
      <c r="K10" s="11" t="str">
        <f ca="1">INDIRECT(ADDRESS(25,7))&amp;":"&amp;INDIRECT(ADDRESS(25,6))</f>
        <v>8:13</v>
      </c>
      <c r="L10" s="97">
        <f ca="1">IF(COUNT(F11:K11)=0,"",COUNTIF(F11:K11,"&gt;0")+0.5*COUNTIF(F11:K11,0))</f>
        <v>1</v>
      </c>
      <c r="M10" s="17">
        <v>2</v>
      </c>
      <c r="N10" s="84">
        <v>4</v>
      </c>
    </row>
    <row r="11" spans="2:14" ht="24" customHeight="1">
      <c r="B11" s="89"/>
      <c r="C11" s="93"/>
      <c r="D11" s="94"/>
      <c r="E11" s="95"/>
      <c r="F11" s="23">
        <f ca="1">IF(LEN(INDIRECT(ADDRESS(ROW()-1, COLUMN())))=1,"",INDIRECT(ADDRESS(36,7))-INDIRECT(ADDRESS(36,6)))</f>
        <v>-6</v>
      </c>
      <c r="G11" s="17">
        <f ca="1">IF(LEN(INDIRECT(ADDRESS(ROW()-1, COLUMN())))=1,"",INDIRECT(ADDRESS(41,6))-INDIRECT(ADDRESS(41,7)))</f>
        <v>4</v>
      </c>
      <c r="H11" s="17">
        <f ca="1">IF(LEN(INDIRECT(ADDRESS(ROW()-1, COLUMN())))=1,"",INDIRECT(ADDRESS(22,7))-INDIRECT(ADDRESS(22,6)))</f>
        <v>-2</v>
      </c>
      <c r="I11" s="15" t="s">
        <v>7</v>
      </c>
      <c r="J11" s="17">
        <f ca="1">IF(LEN(INDIRECT(ADDRESS(ROW()-1, COLUMN())))=1,"",INDIRECT(ADDRESS(32,6))-INDIRECT(ADDRESS(32,7)))</f>
        <v>-5</v>
      </c>
      <c r="K11" s="18">
        <f ca="1">IF(LEN(INDIRECT(ADDRESS(ROW()-1, COLUMN())))=1,"",INDIRECT(ADDRESS(25,7))-INDIRECT(ADDRESS(25,6)))</f>
        <v>-5</v>
      </c>
      <c r="L11" s="97"/>
      <c r="M11" s="17">
        <f ca="1">IF(COUNT(F11:K11)=0,"",SUM(F11:K11))</f>
        <v>-14</v>
      </c>
      <c r="N11" s="81"/>
    </row>
    <row r="12" spans="2:14" ht="24" customHeight="1">
      <c r="B12" s="98">
        <v>5</v>
      </c>
      <c r="C12" s="93" t="s">
        <v>36</v>
      </c>
      <c r="D12" s="94"/>
      <c r="E12" s="95"/>
      <c r="F12" s="12" t="str">
        <f ca="1">INDIRECT(ADDRESS(42,6))&amp;":"&amp;INDIRECT(ADDRESS(42,7))</f>
        <v>2:13</v>
      </c>
      <c r="G12" s="7" t="str">
        <f ca="1">INDIRECT(ADDRESS(21,7))&amp;":"&amp;INDIRECT(ADDRESS(21,6))</f>
        <v>13:12</v>
      </c>
      <c r="H12" s="7" t="str">
        <f ca="1">INDIRECT(ADDRESS(26,6))&amp;":"&amp;INDIRECT(ADDRESS(26,7))</f>
        <v>13:5</v>
      </c>
      <c r="I12" s="7" t="str">
        <f ca="1">INDIRECT(ADDRESS(32,7))&amp;":"&amp;INDIRECT(ADDRESS(32,6))</f>
        <v>13:8</v>
      </c>
      <c r="J12" s="8" t="s">
        <v>7</v>
      </c>
      <c r="K12" s="11" t="str">
        <f ca="1">INDIRECT(ADDRESS(35,7))&amp;":"&amp;INDIRECT(ADDRESS(35,6))</f>
        <v>7:13</v>
      </c>
      <c r="L12" s="97">
        <f ca="1">IF(COUNT(F13:K13)=0,"",COUNTIF(F13:K13,"&gt;0")+0.5*COUNTIF(F13:K13,0))</f>
        <v>3</v>
      </c>
      <c r="M12" s="17"/>
      <c r="N12" s="84">
        <v>3</v>
      </c>
    </row>
    <row r="13" spans="2:14" ht="24" customHeight="1">
      <c r="B13" s="89"/>
      <c r="C13" s="93"/>
      <c r="D13" s="94"/>
      <c r="E13" s="95"/>
      <c r="F13" s="23">
        <f ca="1">IF(LEN(INDIRECT(ADDRESS(ROW()-1, COLUMN())))=1,"",INDIRECT(ADDRESS(42,6))-INDIRECT(ADDRESS(42,7)))</f>
        <v>-11</v>
      </c>
      <c r="G13" s="17">
        <f ca="1">IF(LEN(INDIRECT(ADDRESS(ROW()-1, COLUMN())))=1,"",INDIRECT(ADDRESS(21,7))-INDIRECT(ADDRESS(21,6)))</f>
        <v>1</v>
      </c>
      <c r="H13" s="17">
        <f ca="1">IF(LEN(INDIRECT(ADDRESS(ROW()-1, COLUMN())))=1,"",INDIRECT(ADDRESS(26,6))-INDIRECT(ADDRESS(26,7)))</f>
        <v>8</v>
      </c>
      <c r="I13" s="17">
        <f ca="1">IF(LEN(INDIRECT(ADDRESS(ROW()-1, COLUMN())))=1,"",INDIRECT(ADDRESS(32,7))-INDIRECT(ADDRESS(32,6)))</f>
        <v>5</v>
      </c>
      <c r="J13" s="15" t="s">
        <v>7</v>
      </c>
      <c r="K13" s="18">
        <f ca="1">IF(LEN(INDIRECT(ADDRESS(ROW()-1, COLUMN())))=1,"",INDIRECT(ADDRESS(35,7))-INDIRECT(ADDRESS(35,6)))</f>
        <v>-6</v>
      </c>
      <c r="L13" s="97"/>
      <c r="M13" s="17">
        <f ca="1">IF(COUNT(F13:K13)=0,"",SUM(F13:K13))</f>
        <v>-3</v>
      </c>
      <c r="N13" s="81"/>
    </row>
    <row r="14" spans="2:14" ht="24" customHeight="1">
      <c r="B14" s="98">
        <v>6</v>
      </c>
      <c r="C14" s="93" t="s">
        <v>37</v>
      </c>
      <c r="D14" s="94"/>
      <c r="E14" s="95"/>
      <c r="F14" s="12" t="str">
        <f ca="1">INDIRECT(ADDRESS(20,7))&amp;":"&amp;INDIRECT(ADDRESS(20,6))</f>
        <v>6:13</v>
      </c>
      <c r="G14" s="7" t="str">
        <f ca="1">INDIRECT(ADDRESS(30,7))&amp;":"&amp;INDIRECT(ADDRESS(30,6))</f>
        <v>13:1</v>
      </c>
      <c r="H14" s="7" t="str">
        <f ca="1">INDIRECT(ADDRESS(40,7))&amp;":"&amp;INDIRECT(ADDRESS(40,6))</f>
        <v>13:12</v>
      </c>
      <c r="I14" s="7" t="str">
        <f ca="1">INDIRECT(ADDRESS(25,6))&amp;":"&amp;INDIRECT(ADDRESS(25,7))</f>
        <v>13:8</v>
      </c>
      <c r="J14" s="7" t="str">
        <f ca="1">INDIRECT(ADDRESS(35,6))&amp;":"&amp;INDIRECT(ADDRESS(35,7))</f>
        <v>13:7</v>
      </c>
      <c r="K14" s="13" t="s">
        <v>7</v>
      </c>
      <c r="L14" s="97">
        <f ca="1">IF(COUNT(F15:K15)=0,"",COUNTIF(F15:K15,"&gt;0")+0.5*COUNTIF(F15:K15,0))</f>
        <v>4</v>
      </c>
      <c r="M14" s="17"/>
      <c r="N14" s="84">
        <v>2</v>
      </c>
    </row>
    <row r="15" spans="2:14" ht="24" customHeight="1" thickBot="1">
      <c r="B15" s="103"/>
      <c r="C15" s="104"/>
      <c r="D15" s="105"/>
      <c r="E15" s="106"/>
      <c r="F15" s="20">
        <f ca="1">IF(LEN(INDIRECT(ADDRESS(ROW()-1, COLUMN())))=1,"",INDIRECT(ADDRESS(20,7))-INDIRECT(ADDRESS(20,6)))</f>
        <v>-7</v>
      </c>
      <c r="G15" s="19">
        <f ca="1">IF(LEN(INDIRECT(ADDRESS(ROW()-1, COLUMN())))=1,"",INDIRECT(ADDRESS(30,7))-INDIRECT(ADDRESS(30,6)))</f>
        <v>12</v>
      </c>
      <c r="H15" s="19">
        <f ca="1">IF(LEN(INDIRECT(ADDRESS(ROW()-1, COLUMN())))=1,"",INDIRECT(ADDRESS(40,7))-INDIRECT(ADDRESS(40,6)))</f>
        <v>1</v>
      </c>
      <c r="I15" s="19">
        <f ca="1">IF(LEN(INDIRECT(ADDRESS(ROW()-1, COLUMN())))=1,"",INDIRECT(ADDRESS(25,6))-INDIRECT(ADDRESS(25,7)))</f>
        <v>5</v>
      </c>
      <c r="J15" s="19">
        <f ca="1">IF(LEN(INDIRECT(ADDRESS(ROW()-1, COLUMN())))=1,"",INDIRECT(ADDRESS(35,6))-INDIRECT(ADDRESS(35,7)))</f>
        <v>6</v>
      </c>
      <c r="K15" s="16" t="s">
        <v>7</v>
      </c>
      <c r="L15" s="107"/>
      <c r="M15" s="19">
        <f ca="1">IF(COUNT(F15:K15)=0,"",SUM(F15:K15))</f>
        <v>17</v>
      </c>
      <c r="N15" s="108"/>
    </row>
    <row r="16" spans="2:14">
      <c r="M16"/>
    </row>
    <row r="17" spans="1:13">
      <c r="M17"/>
    </row>
    <row r="18" spans="1:13">
      <c r="M18"/>
    </row>
    <row r="19" spans="1:13" s="55" customFormat="1" ht="30" customHeight="1" thickBot="1">
      <c r="A19" s="54"/>
      <c r="B19" s="99" t="s">
        <v>4</v>
      </c>
      <c r="C19" s="99"/>
      <c r="D19" s="99"/>
      <c r="E19" s="99"/>
      <c r="F19" s="99"/>
      <c r="G19" s="99"/>
      <c r="H19" s="99"/>
      <c r="I19" s="99"/>
      <c r="J19" s="99"/>
      <c r="K19" s="99"/>
    </row>
    <row r="20" spans="1:13" s="55" customFormat="1" ht="30" customHeight="1" thickBot="1">
      <c r="A20" s="54"/>
      <c r="B20" s="59">
        <v>1</v>
      </c>
      <c r="C20" s="100" t="str">
        <f ca="1">IF(ISBLANK(INDIRECT(ADDRESS(B20*2+2,3))),"",INDIRECT(ADDRESS(B20*2+2,3)))</f>
        <v>Субанов</v>
      </c>
      <c r="D20" s="100"/>
      <c r="E20" s="101"/>
      <c r="F20" s="56">
        <v>13</v>
      </c>
      <c r="G20" s="57">
        <v>6</v>
      </c>
      <c r="H20" s="102" t="str">
        <f ca="1">IF(ISBLANK(INDIRECT(ADDRESS(K20*2+2,3))),"",INDIRECT(ADDRESS(K20*2+2,3)))</f>
        <v>Дёмин</v>
      </c>
      <c r="I20" s="100"/>
      <c r="J20" s="100"/>
      <c r="K20" s="59">
        <v>6</v>
      </c>
      <c r="L20" s="58" t="s">
        <v>22</v>
      </c>
      <c r="M20" s="53"/>
    </row>
    <row r="21" spans="1:13" s="55" customFormat="1" ht="30" customHeight="1" thickBot="1">
      <c r="A21" s="54"/>
      <c r="B21" s="59">
        <v>2</v>
      </c>
      <c r="C21" s="100" t="str">
        <f ca="1">IF(ISBLANK(INDIRECT(ADDRESS(B21*2+2,3))),"",INDIRECT(ADDRESS(B21*2+2,3)))</f>
        <v>Бацманов</v>
      </c>
      <c r="D21" s="100"/>
      <c r="E21" s="101"/>
      <c r="F21" s="56">
        <v>12</v>
      </c>
      <c r="G21" s="57">
        <v>13</v>
      </c>
      <c r="H21" s="102" t="str">
        <f ca="1">IF(ISBLANK(INDIRECT(ADDRESS(K21*2+2,3))),"",INDIRECT(ADDRESS(K21*2+2,3)))</f>
        <v>Калякин А.</v>
      </c>
      <c r="I21" s="100"/>
      <c r="J21" s="100"/>
      <c r="K21" s="59">
        <v>5</v>
      </c>
      <c r="L21" s="58" t="s">
        <v>23</v>
      </c>
      <c r="M21" s="53"/>
    </row>
    <row r="22" spans="1:13" s="55" customFormat="1" ht="30" customHeight="1" thickBot="1">
      <c r="A22" s="54"/>
      <c r="B22" s="59">
        <v>3</v>
      </c>
      <c r="C22" s="100" t="str">
        <f ca="1">IF(ISBLANK(INDIRECT(ADDRESS(B22*2+2,3))),"",INDIRECT(ADDRESS(B22*2+2,3)))</f>
        <v>Набиулин</v>
      </c>
      <c r="D22" s="100"/>
      <c r="E22" s="101"/>
      <c r="F22" s="56">
        <v>13</v>
      </c>
      <c r="G22" s="57">
        <v>11</v>
      </c>
      <c r="H22" s="102" t="str">
        <f ca="1">IF(ISBLANK(INDIRECT(ADDRESS(K22*2+2,3))),"",INDIRECT(ADDRESS(K22*2+2,3)))</f>
        <v>Миншинин</v>
      </c>
      <c r="I22" s="100"/>
      <c r="J22" s="100"/>
      <c r="K22" s="59">
        <v>4</v>
      </c>
      <c r="L22" s="58" t="s">
        <v>24</v>
      </c>
      <c r="M22" s="53"/>
    </row>
    <row r="23" spans="1:13" s="55" customFormat="1" ht="30" customHeight="1">
      <c r="A23" s="54"/>
      <c r="M23" s="60"/>
    </row>
    <row r="24" spans="1:13" s="55" customFormat="1" ht="30" customHeight="1" thickBot="1">
      <c r="A24" s="54"/>
      <c r="B24" s="99" t="s">
        <v>5</v>
      </c>
      <c r="C24" s="99"/>
      <c r="D24" s="99"/>
      <c r="E24" s="99"/>
      <c r="F24" s="99"/>
      <c r="G24" s="99"/>
      <c r="H24" s="99"/>
      <c r="I24" s="99"/>
      <c r="J24" s="99"/>
      <c r="K24" s="99"/>
      <c r="M24" s="60"/>
    </row>
    <row r="25" spans="1:13" s="55" customFormat="1" ht="30" customHeight="1" thickBot="1">
      <c r="A25" s="54"/>
      <c r="B25" s="59">
        <v>6</v>
      </c>
      <c r="C25" s="100" t="str">
        <f ca="1">IF(ISBLANK(INDIRECT(ADDRESS(B25*2+2,3))),"",INDIRECT(ADDRESS(B25*2+2,3)))</f>
        <v>Дёмин</v>
      </c>
      <c r="D25" s="100"/>
      <c r="E25" s="101"/>
      <c r="F25" s="56">
        <v>13</v>
      </c>
      <c r="G25" s="57">
        <v>8</v>
      </c>
      <c r="H25" s="102" t="str">
        <f ca="1">IF(ISBLANK(INDIRECT(ADDRESS(K25*2+2,3))),"",INDIRECT(ADDRESS(K25*2+2,3)))</f>
        <v>Миншинин</v>
      </c>
      <c r="I25" s="100"/>
      <c r="J25" s="100"/>
      <c r="K25" s="59">
        <v>4</v>
      </c>
      <c r="L25" s="58" t="s">
        <v>25</v>
      </c>
      <c r="M25" s="53"/>
    </row>
    <row r="26" spans="1:13" s="55" customFormat="1" ht="30" customHeight="1" thickBot="1">
      <c r="A26" s="54"/>
      <c r="B26" s="59">
        <v>5</v>
      </c>
      <c r="C26" s="100" t="str">
        <f ca="1">IF(ISBLANK(INDIRECT(ADDRESS(B26*2+2,3))),"",INDIRECT(ADDRESS(B26*2+2,3)))</f>
        <v>Калякин А.</v>
      </c>
      <c r="D26" s="100"/>
      <c r="E26" s="101"/>
      <c r="F26" s="56">
        <v>13</v>
      </c>
      <c r="G26" s="57">
        <v>5</v>
      </c>
      <c r="H26" s="102" t="str">
        <f ca="1">IF(ISBLANK(INDIRECT(ADDRESS(K26*2+2,3))),"",INDIRECT(ADDRESS(K26*2+2,3)))</f>
        <v>Набиулин</v>
      </c>
      <c r="I26" s="100"/>
      <c r="J26" s="100"/>
      <c r="K26" s="59">
        <v>3</v>
      </c>
      <c r="L26" s="58" t="s">
        <v>26</v>
      </c>
      <c r="M26" s="53"/>
    </row>
    <row r="27" spans="1:13" s="55" customFormat="1" ht="30" customHeight="1" thickBot="1">
      <c r="A27" s="54"/>
      <c r="B27" s="59">
        <v>1</v>
      </c>
      <c r="C27" s="100" t="str">
        <f ca="1">IF(ISBLANK(INDIRECT(ADDRESS(B27*2+2,3))),"",INDIRECT(ADDRESS(B27*2+2,3)))</f>
        <v>Субанов</v>
      </c>
      <c r="D27" s="100"/>
      <c r="E27" s="101"/>
      <c r="F27" s="56">
        <v>13</v>
      </c>
      <c r="G27" s="57">
        <v>8</v>
      </c>
      <c r="H27" s="102" t="str">
        <f ca="1">IF(ISBLANK(INDIRECT(ADDRESS(K27*2+2,3))),"",INDIRECT(ADDRESS(K27*2+2,3)))</f>
        <v>Бацманов</v>
      </c>
      <c r="I27" s="100"/>
      <c r="J27" s="100"/>
      <c r="K27" s="59">
        <v>2</v>
      </c>
      <c r="L27" s="58" t="s">
        <v>27</v>
      </c>
      <c r="M27" s="53"/>
    </row>
    <row r="28" spans="1:13" s="55" customFormat="1" ht="30" customHeight="1">
      <c r="A28" s="54"/>
      <c r="M28" s="60"/>
    </row>
    <row r="29" spans="1:13" s="55" customFormat="1" ht="30" customHeight="1" thickBot="1">
      <c r="A29" s="54"/>
      <c r="B29" s="99" t="s">
        <v>6</v>
      </c>
      <c r="C29" s="99"/>
      <c r="D29" s="99"/>
      <c r="E29" s="99"/>
      <c r="F29" s="99"/>
      <c r="G29" s="99"/>
      <c r="H29" s="99"/>
      <c r="I29" s="99"/>
      <c r="J29" s="99"/>
      <c r="K29" s="99"/>
      <c r="M29" s="60"/>
    </row>
    <row r="30" spans="1:13" s="55" customFormat="1" ht="30" customHeight="1" thickBot="1">
      <c r="A30" s="54"/>
      <c r="B30" s="59">
        <v>2</v>
      </c>
      <c r="C30" s="100" t="str">
        <f ca="1">IF(ISBLANK(INDIRECT(ADDRESS(B30*2+2,3))),"",INDIRECT(ADDRESS(B30*2+2,3)))</f>
        <v>Бацманов</v>
      </c>
      <c r="D30" s="100"/>
      <c r="E30" s="101"/>
      <c r="F30" s="56">
        <v>1</v>
      </c>
      <c r="G30" s="57">
        <v>13</v>
      </c>
      <c r="H30" s="102" t="str">
        <f ca="1">IF(ISBLANK(INDIRECT(ADDRESS(K30*2+2,3))),"",INDIRECT(ADDRESS(K30*2+2,3)))</f>
        <v>Дёмин</v>
      </c>
      <c r="I30" s="100"/>
      <c r="J30" s="100"/>
      <c r="K30" s="59">
        <v>6</v>
      </c>
      <c r="L30" s="58" t="s">
        <v>19</v>
      </c>
      <c r="M30" s="53"/>
    </row>
    <row r="31" spans="1:13" s="55" customFormat="1" ht="30" customHeight="1" thickBot="1">
      <c r="A31" s="54"/>
      <c r="B31" s="59">
        <v>3</v>
      </c>
      <c r="C31" s="100" t="str">
        <f ca="1">IF(ISBLANK(INDIRECT(ADDRESS(B31*2+2,3))),"",INDIRECT(ADDRESS(B31*2+2,3)))</f>
        <v>Набиулин</v>
      </c>
      <c r="D31" s="100"/>
      <c r="E31" s="101"/>
      <c r="F31" s="56">
        <v>9</v>
      </c>
      <c r="G31" s="57">
        <v>13</v>
      </c>
      <c r="H31" s="102" t="str">
        <f ca="1">IF(ISBLANK(INDIRECT(ADDRESS(K31*2+2,3))),"",INDIRECT(ADDRESS(K31*2+2,3)))</f>
        <v>Субанов</v>
      </c>
      <c r="I31" s="100"/>
      <c r="J31" s="100"/>
      <c r="K31" s="59">
        <v>1</v>
      </c>
      <c r="L31" s="58" t="s">
        <v>20</v>
      </c>
      <c r="M31" s="53"/>
    </row>
    <row r="32" spans="1:13" s="55" customFormat="1" ht="30" customHeight="1" thickBot="1">
      <c r="A32" s="54"/>
      <c r="B32" s="59">
        <v>4</v>
      </c>
      <c r="C32" s="100" t="str">
        <f ca="1">IF(ISBLANK(INDIRECT(ADDRESS(B32*2+2,3))),"",INDIRECT(ADDRESS(B32*2+2,3)))</f>
        <v>Миншинин</v>
      </c>
      <c r="D32" s="100"/>
      <c r="E32" s="101"/>
      <c r="F32" s="56">
        <v>8</v>
      </c>
      <c r="G32" s="57">
        <v>13</v>
      </c>
      <c r="H32" s="102" t="str">
        <f ca="1">IF(ISBLANK(INDIRECT(ADDRESS(K32*2+2,3))),"",INDIRECT(ADDRESS(K32*2+2,3)))</f>
        <v>Калякин А.</v>
      </c>
      <c r="I32" s="100"/>
      <c r="J32" s="100"/>
      <c r="K32" s="59">
        <v>5</v>
      </c>
      <c r="L32" s="58" t="s">
        <v>21</v>
      </c>
      <c r="M32" s="53"/>
    </row>
    <row r="33" spans="1:13" s="55" customFormat="1" ht="30" customHeight="1">
      <c r="A33" s="54"/>
      <c r="M33" s="60"/>
    </row>
    <row r="34" spans="1:13" s="55" customFormat="1" ht="30" customHeight="1" thickBot="1">
      <c r="A34" s="54"/>
      <c r="B34" s="99" t="s">
        <v>8</v>
      </c>
      <c r="C34" s="99"/>
      <c r="D34" s="99"/>
      <c r="E34" s="99"/>
      <c r="F34" s="99"/>
      <c r="G34" s="99"/>
      <c r="H34" s="99"/>
      <c r="I34" s="99"/>
      <c r="J34" s="99"/>
      <c r="K34" s="99"/>
      <c r="M34" s="60"/>
    </row>
    <row r="35" spans="1:13" s="55" customFormat="1" ht="30" customHeight="1" thickBot="1">
      <c r="A35" s="54"/>
      <c r="B35" s="59">
        <v>6</v>
      </c>
      <c r="C35" s="100" t="str">
        <f ca="1">IF(ISBLANK(INDIRECT(ADDRESS(B35*2+2,3))),"",INDIRECT(ADDRESS(B35*2+2,3)))</f>
        <v>Дёмин</v>
      </c>
      <c r="D35" s="100"/>
      <c r="E35" s="101"/>
      <c r="F35" s="56">
        <v>13</v>
      </c>
      <c r="G35" s="57">
        <v>7</v>
      </c>
      <c r="H35" s="102" t="str">
        <f ca="1">IF(ISBLANK(INDIRECT(ADDRESS(K35*2+2,3))),"",INDIRECT(ADDRESS(K35*2+2,3)))</f>
        <v>Калякин А.</v>
      </c>
      <c r="I35" s="100"/>
      <c r="J35" s="100"/>
      <c r="K35" s="59">
        <v>5</v>
      </c>
      <c r="L35" s="58" t="s">
        <v>22</v>
      </c>
      <c r="M35" s="53"/>
    </row>
    <row r="36" spans="1:13" s="55" customFormat="1" ht="30" customHeight="1" thickBot="1">
      <c r="A36" s="54"/>
      <c r="B36" s="59">
        <v>1</v>
      </c>
      <c r="C36" s="100" t="str">
        <f ca="1">IF(ISBLANK(INDIRECT(ADDRESS(B36*2+2,3))),"",INDIRECT(ADDRESS(B36*2+2,3)))</f>
        <v>Субанов</v>
      </c>
      <c r="D36" s="100"/>
      <c r="E36" s="101"/>
      <c r="F36" s="56">
        <v>13</v>
      </c>
      <c r="G36" s="57">
        <v>7</v>
      </c>
      <c r="H36" s="102" t="str">
        <f ca="1">IF(ISBLANK(INDIRECT(ADDRESS(K36*2+2,3))),"",INDIRECT(ADDRESS(K36*2+2,3)))</f>
        <v>Миншинин</v>
      </c>
      <c r="I36" s="100"/>
      <c r="J36" s="100"/>
      <c r="K36" s="59">
        <v>4</v>
      </c>
      <c r="L36" s="58" t="s">
        <v>23</v>
      </c>
      <c r="M36" s="53"/>
    </row>
    <row r="37" spans="1:13" s="55" customFormat="1" ht="30" customHeight="1" thickBot="1">
      <c r="A37" s="54"/>
      <c r="B37" s="59">
        <v>2</v>
      </c>
      <c r="C37" s="100" t="str">
        <f ca="1">IF(ISBLANK(INDIRECT(ADDRESS(B37*2+2,3))),"",INDIRECT(ADDRESS(B37*2+2,3)))</f>
        <v>Бацманов</v>
      </c>
      <c r="D37" s="100"/>
      <c r="E37" s="101"/>
      <c r="F37" s="56">
        <v>13</v>
      </c>
      <c r="G37" s="57">
        <v>8</v>
      </c>
      <c r="H37" s="102" t="str">
        <f ca="1">IF(ISBLANK(INDIRECT(ADDRESS(K37*2+2,3))),"",INDIRECT(ADDRESS(K37*2+2,3)))</f>
        <v>Набиулин</v>
      </c>
      <c r="I37" s="100"/>
      <c r="J37" s="100"/>
      <c r="K37" s="59">
        <v>3</v>
      </c>
      <c r="L37" s="58" t="s">
        <v>24</v>
      </c>
      <c r="M37" s="53"/>
    </row>
    <row r="38" spans="1:13" s="55" customFormat="1" ht="30" customHeight="1">
      <c r="A38" s="54"/>
      <c r="M38" s="60"/>
    </row>
    <row r="39" spans="1:13" s="55" customFormat="1" ht="30" customHeight="1" thickBot="1">
      <c r="A39" s="54"/>
      <c r="B39" s="99" t="s">
        <v>9</v>
      </c>
      <c r="C39" s="99"/>
      <c r="D39" s="99"/>
      <c r="E39" s="99"/>
      <c r="F39" s="99"/>
      <c r="G39" s="99"/>
      <c r="H39" s="99"/>
      <c r="I39" s="99"/>
      <c r="J39" s="99"/>
      <c r="K39" s="99"/>
      <c r="M39" s="60"/>
    </row>
    <row r="40" spans="1:13" s="55" customFormat="1" ht="30" customHeight="1" thickBot="1">
      <c r="A40" s="54"/>
      <c r="B40" s="59">
        <v>3</v>
      </c>
      <c r="C40" s="100" t="str">
        <f ca="1">IF(ISBLANK(INDIRECT(ADDRESS(B40*2+2,3))),"",INDIRECT(ADDRESS(B40*2+2,3)))</f>
        <v>Набиулин</v>
      </c>
      <c r="D40" s="100"/>
      <c r="E40" s="101"/>
      <c r="F40" s="56">
        <v>12</v>
      </c>
      <c r="G40" s="57">
        <v>13</v>
      </c>
      <c r="H40" s="102" t="str">
        <f ca="1">IF(ISBLANK(INDIRECT(ADDRESS(K40*2+2,3))),"",INDIRECT(ADDRESS(K40*2+2,3)))</f>
        <v>Дёмин</v>
      </c>
      <c r="I40" s="100"/>
      <c r="J40" s="100"/>
      <c r="K40" s="59">
        <v>6</v>
      </c>
      <c r="L40" s="58" t="s">
        <v>25</v>
      </c>
      <c r="M40" s="53"/>
    </row>
    <row r="41" spans="1:13" s="55" customFormat="1" ht="30" customHeight="1" thickBot="1">
      <c r="A41" s="54"/>
      <c r="B41" s="59">
        <v>4</v>
      </c>
      <c r="C41" s="100" t="str">
        <f ca="1">IF(ISBLANK(INDIRECT(ADDRESS(B41*2+2,3))),"",INDIRECT(ADDRESS(B41*2+2,3)))</f>
        <v>Миншинин</v>
      </c>
      <c r="D41" s="100"/>
      <c r="E41" s="101"/>
      <c r="F41" s="56">
        <v>13</v>
      </c>
      <c r="G41" s="57">
        <v>9</v>
      </c>
      <c r="H41" s="102" t="str">
        <f ca="1">IF(ISBLANK(INDIRECT(ADDRESS(K41*2+2,3))),"",INDIRECT(ADDRESS(K41*2+2,3)))</f>
        <v>Бацманов</v>
      </c>
      <c r="I41" s="100"/>
      <c r="J41" s="100"/>
      <c r="K41" s="59">
        <v>2</v>
      </c>
      <c r="L41" s="58" t="s">
        <v>26</v>
      </c>
      <c r="M41" s="53"/>
    </row>
    <row r="42" spans="1:13" s="55" customFormat="1" ht="30" customHeight="1" thickBot="1">
      <c r="A42" s="54"/>
      <c r="B42" s="59">
        <v>5</v>
      </c>
      <c r="C42" s="100" t="str">
        <f ca="1">IF(ISBLANK(INDIRECT(ADDRESS(B42*2+2,3))),"",INDIRECT(ADDRESS(B42*2+2,3)))</f>
        <v>Калякин А.</v>
      </c>
      <c r="D42" s="100"/>
      <c r="E42" s="101"/>
      <c r="F42" s="56">
        <v>2</v>
      </c>
      <c r="G42" s="57">
        <v>13</v>
      </c>
      <c r="H42" s="102" t="str">
        <f ca="1">IF(ISBLANK(INDIRECT(ADDRESS(K42*2+2,3))),"",INDIRECT(ADDRESS(K42*2+2,3)))</f>
        <v>Субанов</v>
      </c>
      <c r="I42" s="100"/>
      <c r="J42" s="100"/>
      <c r="K42" s="59">
        <v>1</v>
      </c>
      <c r="L42" s="58" t="s">
        <v>27</v>
      </c>
      <c r="M42" s="53"/>
    </row>
    <row r="46" spans="1:13" ht="21">
      <c r="C46" s="61" t="s">
        <v>122</v>
      </c>
      <c r="D46" s="61"/>
      <c r="E46" s="61"/>
      <c r="F46" s="61"/>
    </row>
    <row r="47" spans="1:13" ht="21">
      <c r="C47" s="61"/>
      <c r="D47" s="61"/>
      <c r="E47" s="61"/>
      <c r="F47" s="61"/>
    </row>
    <row r="48" spans="1:13" ht="21">
      <c r="C48" s="61"/>
      <c r="D48" s="61"/>
      <c r="E48" s="61"/>
      <c r="F48" s="61"/>
    </row>
    <row r="49" spans="3:6" ht="21">
      <c r="C49" s="61" t="s">
        <v>29</v>
      </c>
      <c r="D49" s="61"/>
      <c r="E49" s="61"/>
      <c r="F49" s="61"/>
    </row>
  </sheetData>
  <sheetCalcPr fullCalcOnLoad="1"/>
  <mergeCells count="62">
    <mergeCell ref="B1:N1"/>
    <mergeCell ref="B2:N2"/>
    <mergeCell ref="N6:N7"/>
    <mergeCell ref="C3:E3"/>
    <mergeCell ref="B4:B5"/>
    <mergeCell ref="C4:E5"/>
    <mergeCell ref="L4:L5"/>
    <mergeCell ref="N4:N5"/>
    <mergeCell ref="L14:L15"/>
    <mergeCell ref="N14:N15"/>
    <mergeCell ref="L12:L13"/>
    <mergeCell ref="N12:N13"/>
    <mergeCell ref="B6:B7"/>
    <mergeCell ref="C6:E7"/>
    <mergeCell ref="L6:L7"/>
    <mergeCell ref="B10:B11"/>
    <mergeCell ref="C10:E11"/>
    <mergeCell ref="L10:L11"/>
    <mergeCell ref="N10:N11"/>
    <mergeCell ref="B8:B9"/>
    <mergeCell ref="C8:E9"/>
    <mergeCell ref="L8:L9"/>
    <mergeCell ref="N8:N9"/>
    <mergeCell ref="B12:B13"/>
    <mergeCell ref="C12:E13"/>
    <mergeCell ref="B19:K19"/>
    <mergeCell ref="C20:E20"/>
    <mergeCell ref="H20:J20"/>
    <mergeCell ref="B14:B15"/>
    <mergeCell ref="C14:E15"/>
    <mergeCell ref="C21:E21"/>
    <mergeCell ref="H21:J21"/>
    <mergeCell ref="B24:K24"/>
    <mergeCell ref="C25:E25"/>
    <mergeCell ref="H25:J25"/>
    <mergeCell ref="C22:E22"/>
    <mergeCell ref="H22:J22"/>
    <mergeCell ref="C26:E26"/>
    <mergeCell ref="H26:J26"/>
    <mergeCell ref="C27:E27"/>
    <mergeCell ref="C42:E42"/>
    <mergeCell ref="H42:J42"/>
    <mergeCell ref="H27:J27"/>
    <mergeCell ref="B39:K39"/>
    <mergeCell ref="C30:E30"/>
    <mergeCell ref="H30:J30"/>
    <mergeCell ref="C31:E31"/>
    <mergeCell ref="B29:K29"/>
    <mergeCell ref="B34:K34"/>
    <mergeCell ref="C35:E35"/>
    <mergeCell ref="H31:J31"/>
    <mergeCell ref="C32:E32"/>
    <mergeCell ref="H32:J32"/>
    <mergeCell ref="C41:E41"/>
    <mergeCell ref="H41:J41"/>
    <mergeCell ref="H35:J35"/>
    <mergeCell ref="C36:E36"/>
    <mergeCell ref="H36:J36"/>
    <mergeCell ref="C40:E40"/>
    <mergeCell ref="H40:J40"/>
    <mergeCell ref="C37:E37"/>
    <mergeCell ref="H37:J37"/>
  </mergeCells>
  <phoneticPr fontId="0" type="noConversion"/>
  <printOptions horizontalCentered="1"/>
  <pageMargins left="0.25" right="0.25" top="0.75" bottom="0.75" header="0.3" footer="0.3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workbookViewId="0">
      <selection activeCell="H36" sqref="H36"/>
    </sheetView>
  </sheetViews>
  <sheetFormatPr defaultRowHeight="15" customHeight="1"/>
  <cols>
    <col min="1" max="1" width="9.140625" style="30"/>
    <col min="2" max="13" width="9.140625" style="29"/>
    <col min="14" max="14" width="11" style="29" customWidth="1"/>
    <col min="15" max="16384" width="9.140625" style="29"/>
  </cols>
  <sheetData>
    <row r="1" spans="2:14" ht="59.25" customHeight="1">
      <c r="B1" s="82" t="s">
        <v>28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52.5" customHeight="1" thickBot="1">
      <c r="B2" s="83" t="s">
        <v>45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2:14" ht="15" customHeight="1">
      <c r="C3" s="37"/>
    </row>
    <row r="4" spans="2:14" ht="15" customHeight="1">
      <c r="C4" s="37"/>
    </row>
    <row r="5" spans="2:14" ht="15" customHeight="1">
      <c r="B5" s="109" t="s">
        <v>13</v>
      </c>
      <c r="C5" s="110"/>
      <c r="D5" s="28">
        <v>13</v>
      </c>
      <c r="E5" s="31"/>
    </row>
    <row r="6" spans="2:14" ht="15" customHeight="1">
      <c r="C6" s="37"/>
      <c r="E6" s="32"/>
    </row>
    <row r="7" spans="2:14" ht="15" customHeight="1">
      <c r="B7" s="36" t="s">
        <v>19</v>
      </c>
      <c r="C7" s="37"/>
      <c r="E7" s="33"/>
      <c r="F7" s="111" t="str">
        <f>IF(ISBLANK(D5),"",IF(D5&gt;D9,B5,B9))</f>
        <v>Капран-Индаяти</v>
      </c>
      <c r="G7" s="110"/>
      <c r="H7" s="28">
        <v>13</v>
      </c>
      <c r="I7" s="31"/>
    </row>
    <row r="8" spans="2:14" ht="15" customHeight="1">
      <c r="C8" s="37"/>
      <c r="E8" s="33"/>
      <c r="I8" s="32"/>
    </row>
    <row r="9" spans="2:14" ht="15" customHeight="1">
      <c r="B9" s="109" t="s">
        <v>37</v>
      </c>
      <c r="C9" s="110"/>
      <c r="D9" s="28">
        <v>7</v>
      </c>
      <c r="E9" s="34"/>
      <c r="I9" s="33"/>
    </row>
    <row r="10" spans="2:14" ht="15" customHeight="1">
      <c r="C10" s="37"/>
      <c r="I10" s="33"/>
      <c r="M10" s="35"/>
    </row>
    <row r="11" spans="2:14" ht="15" customHeight="1">
      <c r="C11" s="37"/>
      <c r="G11" s="36" t="s">
        <v>22</v>
      </c>
      <c r="H11" s="37"/>
      <c r="I11" s="33"/>
      <c r="J11" s="111" t="str">
        <f>IF(ISBLANK(H7),"",IF(H7&gt;H15,F7,F15))</f>
        <v>Капран-Индаяти</v>
      </c>
      <c r="K11" s="109"/>
      <c r="L11" s="52"/>
      <c r="M11" s="35"/>
    </row>
    <row r="12" spans="2:14" ht="15" customHeight="1">
      <c r="C12" s="37"/>
      <c r="I12" s="33"/>
      <c r="M12" s="35"/>
    </row>
    <row r="13" spans="2:14" ht="15" customHeight="1">
      <c r="B13" s="109" t="s">
        <v>32</v>
      </c>
      <c r="C13" s="110"/>
      <c r="D13" s="28">
        <v>13</v>
      </c>
      <c r="E13" s="31"/>
      <c r="I13" s="33"/>
      <c r="M13" s="35"/>
    </row>
    <row r="14" spans="2:14" ht="15" customHeight="1">
      <c r="C14" s="37"/>
      <c r="E14" s="32"/>
      <c r="I14" s="33"/>
      <c r="M14" s="35"/>
    </row>
    <row r="15" spans="2:14" ht="15" customHeight="1">
      <c r="B15" s="36" t="s">
        <v>20</v>
      </c>
      <c r="C15" s="37"/>
      <c r="E15" s="33"/>
      <c r="F15" s="111" t="str">
        <f>IF(ISBLANK(D13),"",IF(D13&gt;D17,B13,B17))</f>
        <v>Субанов</v>
      </c>
      <c r="G15" s="110"/>
      <c r="H15" s="28">
        <v>12</v>
      </c>
      <c r="I15" s="34"/>
      <c r="M15" s="35"/>
    </row>
    <row r="16" spans="2:14" ht="15" customHeight="1">
      <c r="E16" s="33"/>
      <c r="M16" s="35"/>
    </row>
    <row r="17" spans="2:13" ht="15" customHeight="1">
      <c r="B17" s="109" t="s">
        <v>14</v>
      </c>
      <c r="C17" s="110"/>
      <c r="D17" s="28">
        <v>2</v>
      </c>
      <c r="E17" s="34"/>
      <c r="M17" s="35"/>
    </row>
    <row r="21" spans="2:13" ht="15" customHeight="1">
      <c r="B21" s="109" t="str">
        <f>IF(ISBLANK(D5),"",IF(D5&gt;D9,B9,B5))</f>
        <v>Дёмин</v>
      </c>
      <c r="C21" s="110"/>
      <c r="D21" s="28">
        <v>2</v>
      </c>
      <c r="E21" s="31"/>
      <c r="F21" s="112"/>
      <c r="G21" s="112"/>
    </row>
    <row r="22" spans="2:13" ht="15" customHeight="1">
      <c r="E22" s="32"/>
    </row>
    <row r="23" spans="2:13" ht="15" customHeight="1">
      <c r="C23" s="36" t="s">
        <v>21</v>
      </c>
      <c r="E23" s="33"/>
      <c r="F23" s="111" t="str">
        <f>IF(ISBLANK(D21),"",IF(D21&gt;D25,B21,B25))</f>
        <v>Анухин</v>
      </c>
      <c r="G23" s="109"/>
    </row>
    <row r="24" spans="2:13" ht="15" customHeight="1">
      <c r="E24" s="33"/>
    </row>
    <row r="25" spans="2:13" ht="15" customHeight="1">
      <c r="B25" s="109" t="str">
        <f>IF(ISBLANK(D13),"",IF(D13&gt;D17,B17,B13))</f>
        <v>Анухин</v>
      </c>
      <c r="C25" s="110"/>
      <c r="D25" s="28">
        <v>13</v>
      </c>
      <c r="E25" s="34"/>
    </row>
    <row r="29" spans="2:13" ht="18.75" customHeight="1">
      <c r="B29" s="61" t="s">
        <v>122</v>
      </c>
      <c r="C29" s="61"/>
      <c r="D29" s="61"/>
      <c r="E29" s="61"/>
      <c r="F29"/>
      <c r="G29"/>
      <c r="H29"/>
      <c r="I29"/>
    </row>
    <row r="30" spans="2:13" ht="15" customHeight="1">
      <c r="B30" s="61"/>
      <c r="C30" s="61"/>
      <c r="D30" s="61"/>
      <c r="E30" s="61"/>
      <c r="F30"/>
      <c r="G30"/>
      <c r="H30"/>
      <c r="I30"/>
    </row>
    <row r="31" spans="2:13" ht="15" customHeight="1">
      <c r="B31" s="61"/>
      <c r="C31" s="61"/>
      <c r="D31" s="61"/>
      <c r="E31" s="61"/>
      <c r="F31"/>
      <c r="G31"/>
      <c r="H31"/>
      <c r="I31"/>
    </row>
    <row r="32" spans="2:13" ht="21" customHeight="1">
      <c r="B32" s="61" t="s">
        <v>29</v>
      </c>
      <c r="C32" s="61"/>
      <c r="D32" s="61"/>
      <c r="E32" s="61"/>
      <c r="F32"/>
      <c r="G32"/>
      <c r="H32"/>
      <c r="I32"/>
    </row>
  </sheetData>
  <mergeCells count="13">
    <mergeCell ref="J11:K11"/>
    <mergeCell ref="B1:N1"/>
    <mergeCell ref="B5:C5"/>
    <mergeCell ref="F7:G7"/>
    <mergeCell ref="B9:C9"/>
    <mergeCell ref="B2:N2"/>
    <mergeCell ref="B13:C13"/>
    <mergeCell ref="F15:G15"/>
    <mergeCell ref="B17:C17"/>
    <mergeCell ref="F23:G23"/>
    <mergeCell ref="B25:C25"/>
    <mergeCell ref="B21:C21"/>
    <mergeCell ref="F21:G2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8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workbookViewId="0">
      <selection activeCell="J27" sqref="J27"/>
    </sheetView>
  </sheetViews>
  <sheetFormatPr defaultRowHeight="15" customHeight="1"/>
  <cols>
    <col min="1" max="1" width="9.140625" style="30"/>
    <col min="2" max="13" width="9.140625" style="29"/>
    <col min="14" max="14" width="11" style="29" customWidth="1"/>
    <col min="15" max="16384" width="9.140625" style="29"/>
  </cols>
  <sheetData>
    <row r="1" spans="2:14" ht="59.25" customHeight="1">
      <c r="B1" s="82" t="s">
        <v>28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52.5" customHeight="1" thickBot="1">
      <c r="B2" s="83" t="s">
        <v>46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2:14" ht="15" customHeight="1">
      <c r="C3" s="37"/>
    </row>
    <row r="4" spans="2:14" ht="15" customHeight="1">
      <c r="C4" s="37"/>
    </row>
    <row r="5" spans="2:14" ht="15" customHeight="1">
      <c r="B5" s="109" t="s">
        <v>16</v>
      </c>
      <c r="C5" s="110"/>
      <c r="D5" s="28">
        <v>1</v>
      </c>
      <c r="E5" s="31"/>
    </row>
    <row r="6" spans="2:14" ht="15" customHeight="1">
      <c r="C6" s="37"/>
      <c r="E6" s="32"/>
    </row>
    <row r="7" spans="2:14" ht="15" customHeight="1">
      <c r="B7" s="36" t="s">
        <v>19</v>
      </c>
      <c r="C7" s="37"/>
      <c r="E7" s="33"/>
      <c r="F7" s="111" t="str">
        <f>IF(ISBLANK(D5),"",IF(D5&gt;D9,B5,B9))</f>
        <v>Миншинин</v>
      </c>
      <c r="G7" s="110"/>
      <c r="H7" s="28">
        <v>3</v>
      </c>
      <c r="I7" s="31"/>
    </row>
    <row r="8" spans="2:14" ht="15" customHeight="1">
      <c r="C8" s="37"/>
      <c r="E8" s="33"/>
      <c r="I8" s="32"/>
    </row>
    <row r="9" spans="2:14" ht="15" customHeight="1">
      <c r="B9" s="109" t="s">
        <v>35</v>
      </c>
      <c r="C9" s="110"/>
      <c r="D9" s="28">
        <v>13</v>
      </c>
      <c r="E9" s="34"/>
      <c r="I9" s="33"/>
    </row>
    <row r="10" spans="2:14" ht="15" customHeight="1">
      <c r="C10" s="37"/>
      <c r="I10" s="33"/>
      <c r="M10" s="35"/>
    </row>
    <row r="11" spans="2:14" ht="15" customHeight="1">
      <c r="C11" s="37"/>
      <c r="G11" s="36" t="s">
        <v>19</v>
      </c>
      <c r="H11" s="37"/>
      <c r="I11" s="33"/>
      <c r="J11" s="111" t="str">
        <f>IF(ISBLANK(H7),"",IF(H7&gt;H15,F7,F15))</f>
        <v>Калякин М.</v>
      </c>
      <c r="K11" s="109"/>
      <c r="L11" s="52"/>
      <c r="M11" s="35"/>
    </row>
    <row r="12" spans="2:14" ht="15" customHeight="1">
      <c r="C12" s="37"/>
      <c r="I12" s="33"/>
      <c r="M12" s="35"/>
    </row>
    <row r="13" spans="2:14" ht="15" customHeight="1">
      <c r="B13" s="109" t="s">
        <v>15</v>
      </c>
      <c r="C13" s="110"/>
      <c r="D13" s="28">
        <v>13</v>
      </c>
      <c r="E13" s="31"/>
      <c r="I13" s="33"/>
      <c r="M13" s="35"/>
    </row>
    <row r="14" spans="2:14" ht="15" customHeight="1">
      <c r="C14" s="37"/>
      <c r="E14" s="32"/>
      <c r="I14" s="33"/>
      <c r="M14" s="35"/>
    </row>
    <row r="15" spans="2:14" ht="15" customHeight="1">
      <c r="B15" s="36" t="s">
        <v>20</v>
      </c>
      <c r="C15" s="37"/>
      <c r="E15" s="33"/>
      <c r="F15" s="111" t="str">
        <f>IF(ISBLANK(D13),"",IF(D13&gt;D17,B13,B17))</f>
        <v>Калякин М.</v>
      </c>
      <c r="G15" s="110"/>
      <c r="H15" s="28">
        <v>13</v>
      </c>
      <c r="I15" s="34"/>
      <c r="M15" s="35"/>
    </row>
    <row r="16" spans="2:14" ht="15" customHeight="1">
      <c r="E16" s="33"/>
      <c r="M16" s="35"/>
    </row>
    <row r="17" spans="2:13" ht="15" customHeight="1">
      <c r="B17" s="109" t="s">
        <v>36</v>
      </c>
      <c r="C17" s="110"/>
      <c r="D17" s="28">
        <v>7</v>
      </c>
      <c r="E17" s="34"/>
      <c r="M17" s="35"/>
    </row>
    <row r="21" spans="2:13" ht="15" customHeight="1">
      <c r="B21" s="109" t="str">
        <f>IF(ISBLANK(D5),"",IF(D5&gt;D9,B9,B5))</f>
        <v>Комолов</v>
      </c>
      <c r="C21" s="110"/>
      <c r="D21" s="28">
        <v>13</v>
      </c>
      <c r="E21" s="31"/>
      <c r="F21" s="112"/>
      <c r="G21" s="112"/>
    </row>
    <row r="22" spans="2:13" ht="15" customHeight="1">
      <c r="E22" s="32"/>
    </row>
    <row r="23" spans="2:13" ht="15" customHeight="1">
      <c r="C23" s="36" t="s">
        <v>20</v>
      </c>
      <c r="E23" s="33"/>
      <c r="F23" s="111" t="str">
        <f>IF(ISBLANK(D21),"",IF(D21&gt;D25,B21,B25))</f>
        <v>Комолов</v>
      </c>
      <c r="G23" s="109"/>
    </row>
    <row r="24" spans="2:13" ht="15" customHeight="1">
      <c r="E24" s="33"/>
    </row>
    <row r="25" spans="2:13" ht="15" customHeight="1">
      <c r="B25" s="109" t="str">
        <f>IF(ISBLANK(D13),"",IF(D13&gt;D17,B17,B13))</f>
        <v>Калякин А.</v>
      </c>
      <c r="C25" s="110"/>
      <c r="D25" s="28">
        <v>8</v>
      </c>
      <c r="E25" s="34"/>
    </row>
    <row r="29" spans="2:13" ht="18.75" customHeight="1">
      <c r="B29" s="61" t="s">
        <v>122</v>
      </c>
      <c r="C29" s="61"/>
      <c r="D29" s="61"/>
      <c r="E29" s="61"/>
      <c r="F29"/>
      <c r="G29"/>
      <c r="H29"/>
      <c r="I29"/>
    </row>
    <row r="30" spans="2:13" ht="15" customHeight="1">
      <c r="B30" s="61"/>
      <c r="C30" s="61"/>
      <c r="D30" s="61"/>
      <c r="E30" s="61"/>
      <c r="F30"/>
      <c r="G30"/>
      <c r="H30"/>
      <c r="I30"/>
    </row>
    <row r="31" spans="2:13" ht="15" customHeight="1">
      <c r="B31" s="61"/>
      <c r="C31" s="61"/>
      <c r="D31" s="61"/>
      <c r="E31" s="61"/>
      <c r="F31"/>
      <c r="G31"/>
      <c r="H31"/>
      <c r="I31"/>
    </row>
    <row r="32" spans="2:13" ht="21" customHeight="1">
      <c r="B32" s="61" t="s">
        <v>29</v>
      </c>
      <c r="C32" s="61"/>
      <c r="D32" s="61"/>
      <c r="E32" s="61"/>
      <c r="F32"/>
      <c r="G32"/>
      <c r="H32"/>
      <c r="I32"/>
    </row>
  </sheetData>
  <mergeCells count="13">
    <mergeCell ref="F23:G23"/>
    <mergeCell ref="B25:C25"/>
    <mergeCell ref="B21:C21"/>
    <mergeCell ref="F21:G21"/>
    <mergeCell ref="B13:C13"/>
    <mergeCell ref="F15:G15"/>
    <mergeCell ref="B17:C17"/>
    <mergeCell ref="B1:N1"/>
    <mergeCell ref="B5:C5"/>
    <mergeCell ref="F7:G7"/>
    <mergeCell ref="B9:C9"/>
    <mergeCell ref="B2:N2"/>
    <mergeCell ref="J11:K1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8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workbookViewId="0">
      <selection activeCell="I29" sqref="I29"/>
    </sheetView>
  </sheetViews>
  <sheetFormatPr defaultRowHeight="15" customHeight="1"/>
  <cols>
    <col min="1" max="1" width="9.140625" style="30"/>
    <col min="2" max="13" width="9.140625" style="29"/>
    <col min="14" max="14" width="11" style="29" customWidth="1"/>
    <col min="15" max="16384" width="9.140625" style="29"/>
  </cols>
  <sheetData>
    <row r="1" spans="2:14" ht="59.25" customHeight="1">
      <c r="B1" s="82" t="s">
        <v>28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52.5" customHeight="1" thickBot="1">
      <c r="B2" s="83" t="s">
        <v>47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2:14" ht="15" customHeight="1">
      <c r="C3" s="37"/>
    </row>
    <row r="4" spans="2:14" ht="15" customHeight="1">
      <c r="C4" s="37"/>
    </row>
    <row r="5" spans="2:14" ht="15" customHeight="1">
      <c r="B5" s="109" t="s">
        <v>18</v>
      </c>
      <c r="C5" s="110"/>
      <c r="D5" s="28">
        <v>10</v>
      </c>
      <c r="E5" s="31"/>
    </row>
    <row r="6" spans="2:14" ht="15" customHeight="1">
      <c r="C6" s="37"/>
      <c r="E6" s="32"/>
    </row>
    <row r="7" spans="2:14" ht="15" customHeight="1">
      <c r="B7" s="36" t="s">
        <v>23</v>
      </c>
      <c r="C7" s="37"/>
      <c r="E7" s="33"/>
      <c r="F7" s="111" t="str">
        <f>IF(ISBLANK(D5),"",IF(D5&gt;D9,B5,B9))</f>
        <v>Набиулин</v>
      </c>
      <c r="G7" s="110"/>
      <c r="H7" s="28">
        <v>7</v>
      </c>
      <c r="I7" s="31"/>
    </row>
    <row r="8" spans="2:14" ht="15" customHeight="1">
      <c r="C8" s="37"/>
      <c r="E8" s="33"/>
      <c r="I8" s="32"/>
    </row>
    <row r="9" spans="2:14" ht="15" customHeight="1">
      <c r="B9" s="109" t="s">
        <v>34</v>
      </c>
      <c r="C9" s="110"/>
      <c r="D9" s="28">
        <v>13</v>
      </c>
      <c r="E9" s="34"/>
      <c r="I9" s="33"/>
    </row>
    <row r="10" spans="2:14" ht="15" customHeight="1">
      <c r="C10" s="37"/>
      <c r="I10" s="33"/>
      <c r="M10" s="35"/>
    </row>
    <row r="11" spans="2:14" ht="15" customHeight="1">
      <c r="C11" s="37"/>
      <c r="G11" s="36" t="s">
        <v>25</v>
      </c>
      <c r="H11" s="37"/>
      <c r="I11" s="33"/>
      <c r="J11" s="111" t="str">
        <f>IF(ISBLANK(H7),"",IF(H7&gt;H15,F7,F15))</f>
        <v>Колобков</v>
      </c>
      <c r="K11" s="109"/>
      <c r="L11" s="52"/>
      <c r="M11" s="35"/>
    </row>
    <row r="12" spans="2:14" ht="15" customHeight="1">
      <c r="C12" s="37"/>
      <c r="I12" s="33"/>
      <c r="M12" s="35"/>
    </row>
    <row r="13" spans="2:14" ht="15" customHeight="1">
      <c r="B13" s="109" t="s">
        <v>17</v>
      </c>
      <c r="C13" s="110"/>
      <c r="D13" s="28">
        <v>13</v>
      </c>
      <c r="E13" s="31"/>
      <c r="I13" s="33"/>
      <c r="M13" s="35"/>
    </row>
    <row r="14" spans="2:14" ht="15" customHeight="1">
      <c r="C14" s="37"/>
      <c r="E14" s="32"/>
      <c r="I14" s="33"/>
      <c r="M14" s="35"/>
    </row>
    <row r="15" spans="2:14" ht="15" customHeight="1">
      <c r="B15" s="36" t="s">
        <v>24</v>
      </c>
      <c r="C15" s="37"/>
      <c r="E15" s="33"/>
      <c r="F15" s="111" t="str">
        <f>IF(ISBLANK(D13),"",IF(D13&gt;D17,B13,B17))</f>
        <v>Колобков</v>
      </c>
      <c r="G15" s="110"/>
      <c r="H15" s="28">
        <v>13</v>
      </c>
      <c r="I15" s="34"/>
      <c r="M15" s="35"/>
    </row>
    <row r="16" spans="2:14" ht="15" customHeight="1">
      <c r="E16" s="33"/>
      <c r="M16" s="35"/>
    </row>
    <row r="17" spans="2:13" ht="15" customHeight="1">
      <c r="B17" s="109" t="s">
        <v>33</v>
      </c>
      <c r="C17" s="110"/>
      <c r="D17" s="28">
        <v>12</v>
      </c>
      <c r="E17" s="34"/>
      <c r="M17" s="35"/>
    </row>
    <row r="21" spans="2:13" ht="15" customHeight="1">
      <c r="B21" s="109" t="str">
        <f>IF(ISBLANK(D5),"",IF(D5&gt;D9,B9,B5))</f>
        <v>Аверьянов</v>
      </c>
      <c r="C21" s="110"/>
      <c r="D21" s="28">
        <v>13</v>
      </c>
      <c r="E21" s="31"/>
      <c r="F21" s="112"/>
      <c r="G21" s="112"/>
    </row>
    <row r="22" spans="2:13" ht="15" customHeight="1">
      <c r="E22" s="32"/>
    </row>
    <row r="23" spans="2:13" ht="15" customHeight="1">
      <c r="C23" s="36" t="s">
        <v>26</v>
      </c>
      <c r="E23" s="33"/>
      <c r="F23" s="111" t="str">
        <f>IF(ISBLANK(D21),"",IF(D21&gt;D25,B21,B25))</f>
        <v>Аверьянов</v>
      </c>
      <c r="G23" s="109"/>
    </row>
    <row r="24" spans="2:13" ht="15" customHeight="1">
      <c r="E24" s="33"/>
    </row>
    <row r="25" spans="2:13" ht="15" customHeight="1">
      <c r="B25" s="109" t="str">
        <f>IF(ISBLANK(D13),"",IF(D13&gt;D17,B17,B13))</f>
        <v>Бацманов</v>
      </c>
      <c r="C25" s="110"/>
      <c r="D25" s="28">
        <v>10</v>
      </c>
      <c r="E25" s="34"/>
    </row>
    <row r="29" spans="2:13" ht="18.75" customHeight="1">
      <c r="B29" s="61" t="s">
        <v>122</v>
      </c>
      <c r="C29" s="61"/>
      <c r="D29" s="61"/>
      <c r="E29" s="61"/>
      <c r="F29"/>
      <c r="G29"/>
      <c r="H29"/>
      <c r="I29"/>
    </row>
    <row r="30" spans="2:13" ht="15" customHeight="1">
      <c r="B30" s="61"/>
      <c r="C30" s="61"/>
      <c r="D30" s="61"/>
      <c r="E30" s="61"/>
      <c r="F30"/>
      <c r="G30"/>
      <c r="H30"/>
      <c r="I30"/>
    </row>
    <row r="31" spans="2:13" ht="15" customHeight="1">
      <c r="B31" s="61"/>
      <c r="C31" s="61"/>
      <c r="D31" s="61"/>
      <c r="E31" s="61"/>
      <c r="F31"/>
      <c r="G31"/>
      <c r="H31"/>
      <c r="I31"/>
    </row>
    <row r="32" spans="2:13" ht="21" customHeight="1">
      <c r="B32" s="61" t="s">
        <v>29</v>
      </c>
      <c r="C32" s="61"/>
      <c r="D32" s="61"/>
      <c r="E32" s="61"/>
      <c r="F32"/>
      <c r="G32"/>
      <c r="H32"/>
      <c r="I32"/>
    </row>
  </sheetData>
  <mergeCells count="13">
    <mergeCell ref="J11:K11"/>
    <mergeCell ref="B1:N1"/>
    <mergeCell ref="B5:C5"/>
    <mergeCell ref="F7:G7"/>
    <mergeCell ref="B9:C9"/>
    <mergeCell ref="B2:N2"/>
    <mergeCell ref="B13:C13"/>
    <mergeCell ref="F15:G15"/>
    <mergeCell ref="B17:C17"/>
    <mergeCell ref="F23:G23"/>
    <mergeCell ref="B25:C25"/>
    <mergeCell ref="B21:C21"/>
    <mergeCell ref="F21:G2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8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9"/>
  <sheetViews>
    <sheetView topLeftCell="A34" workbookViewId="0">
      <selection activeCell="K47" sqref="K47"/>
    </sheetView>
  </sheetViews>
  <sheetFormatPr defaultRowHeight="15"/>
  <cols>
    <col min="1" max="1" width="4" style="30" customWidth="1"/>
    <col min="2" max="12" width="10.28515625" customWidth="1"/>
    <col min="13" max="13" width="10.28515625" style="38" customWidth="1"/>
    <col min="14" max="15" width="10.28515625" customWidth="1"/>
  </cols>
  <sheetData>
    <row r="1" spans="2:14" ht="38.25" customHeight="1">
      <c r="B1" s="82" t="s">
        <v>28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42" customHeight="1" thickBot="1">
      <c r="B2" s="83" t="s">
        <v>38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2:14" ht="30" customHeight="1" thickBot="1">
      <c r="B3" s="25"/>
      <c r="C3" s="85" t="s">
        <v>0</v>
      </c>
      <c r="D3" s="86"/>
      <c r="E3" s="87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>
      <c r="B4" s="88">
        <v>1</v>
      </c>
      <c r="C4" s="90" t="s">
        <v>39</v>
      </c>
      <c r="D4" s="91"/>
      <c r="E4" s="92"/>
      <c r="F4" s="10" t="s">
        <v>7</v>
      </c>
      <c r="G4" s="6" t="str">
        <f ca="1">INDIRECT(ADDRESS(27,6))&amp;":"&amp;INDIRECT(ADDRESS(27,7))</f>
        <v>6:13</v>
      </c>
      <c r="H4" s="6" t="str">
        <f ca="1">INDIRECT(ADDRESS(31,7))&amp;":"&amp;INDIRECT(ADDRESS(31,6))</f>
        <v>13:8</v>
      </c>
      <c r="I4" s="6" t="str">
        <f ca="1">INDIRECT(ADDRESS(36,6))&amp;":"&amp;INDIRECT(ADDRESS(36,7))</f>
        <v>6:13</v>
      </c>
      <c r="J4" s="6" t="str">
        <f ca="1">INDIRECT(ADDRESS(42,7))&amp;":"&amp;INDIRECT(ADDRESS(42,6))</f>
        <v>7:13</v>
      </c>
      <c r="K4" s="21" t="str">
        <f ca="1">INDIRECT(ADDRESS(20,6))&amp;":"&amp;INDIRECT(ADDRESS(20,7))</f>
        <v>7:11</v>
      </c>
      <c r="L4" s="96">
        <f ca="1">IF(COUNT(F5:K5)=0,"",COUNTIF(F5:K5,"&gt;0")+0.5*COUNTIF(F5:K5,0))</f>
        <v>1</v>
      </c>
      <c r="M4" s="24"/>
      <c r="N4" s="80">
        <v>6</v>
      </c>
    </row>
    <row r="5" spans="2:14" ht="24" customHeight="1">
      <c r="B5" s="89"/>
      <c r="C5" s="93"/>
      <c r="D5" s="94"/>
      <c r="E5" s="95"/>
      <c r="F5" s="14" t="s">
        <v>7</v>
      </c>
      <c r="G5" s="17">
        <f ca="1">IF(LEN(INDIRECT(ADDRESS(ROW()-1, COLUMN())))=1,"",INDIRECT(ADDRESS(27,6))-INDIRECT(ADDRESS(27,7)))</f>
        <v>-7</v>
      </c>
      <c r="H5" s="17">
        <f ca="1">IF(LEN(INDIRECT(ADDRESS(ROW()-1, COLUMN())))=1,"",INDIRECT(ADDRESS(31,7))-INDIRECT(ADDRESS(31,6)))</f>
        <v>5</v>
      </c>
      <c r="I5" s="17">
        <f ca="1">IF(LEN(INDIRECT(ADDRESS(ROW()-1, COLUMN())))=1,"",INDIRECT(ADDRESS(36,6))-INDIRECT(ADDRESS(36,7)))</f>
        <v>-7</v>
      </c>
      <c r="J5" s="17">
        <f ca="1">IF(LEN(INDIRECT(ADDRESS(ROW()-1, COLUMN())))=1,"",INDIRECT(ADDRESS(42,7))-INDIRECT(ADDRESS(42,6)))</f>
        <v>-6</v>
      </c>
      <c r="K5" s="18">
        <f ca="1">IF(LEN(INDIRECT(ADDRESS(ROW()-1, COLUMN())))=1,"",INDIRECT(ADDRESS(20,6))-INDIRECT(ADDRESS(20,7)))</f>
        <v>-4</v>
      </c>
      <c r="L5" s="97"/>
      <c r="M5" s="17">
        <f ca="1">IF(COUNT(F5:K5)=0,"",SUM(F5:K5))</f>
        <v>-19</v>
      </c>
      <c r="N5" s="81"/>
    </row>
    <row r="6" spans="2:14" ht="24" customHeight="1">
      <c r="B6" s="98">
        <v>2</v>
      </c>
      <c r="C6" s="93" t="s">
        <v>40</v>
      </c>
      <c r="D6" s="94"/>
      <c r="E6" s="95"/>
      <c r="F6" s="12" t="str">
        <f ca="1">INDIRECT(ADDRESS(27,7))&amp;":"&amp;INDIRECT(ADDRESS(27,6))</f>
        <v>13:6</v>
      </c>
      <c r="G6" s="8" t="s">
        <v>7</v>
      </c>
      <c r="H6" s="7" t="str">
        <f ca="1">INDIRECT(ADDRESS(37,6))&amp;":"&amp;INDIRECT(ADDRESS(37,7))</f>
        <v>10:13</v>
      </c>
      <c r="I6" s="7" t="str">
        <f ca="1">INDIRECT(ADDRESS(41,7))&amp;":"&amp;INDIRECT(ADDRESS(41,6))</f>
        <v>13:10</v>
      </c>
      <c r="J6" s="7" t="str">
        <f ca="1">INDIRECT(ADDRESS(21,6))&amp;":"&amp;INDIRECT(ADDRESS(21,7))</f>
        <v>13:5</v>
      </c>
      <c r="K6" s="11" t="str">
        <f ca="1">INDIRECT(ADDRESS(30,6))&amp;":"&amp;INDIRECT(ADDRESS(30,7))</f>
        <v>5:13</v>
      </c>
      <c r="L6" s="97">
        <f ca="1">IF(COUNT(F7:K7)=0,"",COUNTIF(F7:K7,"&gt;0")+0.5*COUNTIF(F7:K7,0))</f>
        <v>3</v>
      </c>
      <c r="M6" s="17">
        <v>0</v>
      </c>
      <c r="N6" s="84">
        <v>3</v>
      </c>
    </row>
    <row r="7" spans="2:14" ht="24" customHeight="1">
      <c r="B7" s="89"/>
      <c r="C7" s="93"/>
      <c r="D7" s="94"/>
      <c r="E7" s="95"/>
      <c r="F7" s="23">
        <f ca="1">IF(LEN(INDIRECT(ADDRESS(ROW()-1, COLUMN())))=1,"",INDIRECT(ADDRESS(27,7))-INDIRECT(ADDRESS(27,6)))</f>
        <v>7</v>
      </c>
      <c r="G7" s="15" t="s">
        <v>7</v>
      </c>
      <c r="H7" s="17">
        <f ca="1">IF(LEN(INDIRECT(ADDRESS(ROW()-1, COLUMN())))=1,"",INDIRECT(ADDRESS(37,6))-INDIRECT(ADDRESS(37,7)))</f>
        <v>-3</v>
      </c>
      <c r="I7" s="17">
        <f ca="1">IF(LEN(INDIRECT(ADDRESS(ROW()-1, COLUMN())))=1,"",INDIRECT(ADDRESS(41,7))-INDIRECT(ADDRESS(41,6)))</f>
        <v>3</v>
      </c>
      <c r="J7" s="17">
        <f ca="1">IF(LEN(INDIRECT(ADDRESS(ROW()-1, COLUMN())))=1,"",INDIRECT(ADDRESS(21,6))-INDIRECT(ADDRESS(21,7)))</f>
        <v>8</v>
      </c>
      <c r="K7" s="18">
        <f ca="1">IF(LEN(INDIRECT(ADDRESS(ROW()-1, COLUMN())))=1,"",INDIRECT(ADDRESS(30,6))-INDIRECT(ADDRESS(30,7)))</f>
        <v>-8</v>
      </c>
      <c r="L7" s="97"/>
      <c r="M7" s="17">
        <f ca="1">IF(COUNT(F7:K7)=0,"",SUM(F7:K7))</f>
        <v>7</v>
      </c>
      <c r="N7" s="81"/>
    </row>
    <row r="8" spans="2:14" ht="24" customHeight="1">
      <c r="B8" s="98">
        <v>3</v>
      </c>
      <c r="C8" s="93" t="s">
        <v>41</v>
      </c>
      <c r="D8" s="94"/>
      <c r="E8" s="95"/>
      <c r="F8" s="12" t="str">
        <f ca="1">INDIRECT(ADDRESS(31,6))&amp;":"&amp;INDIRECT(ADDRESS(31,7))</f>
        <v>8:13</v>
      </c>
      <c r="G8" s="7" t="str">
        <f ca="1">INDIRECT(ADDRESS(37,7))&amp;":"&amp;INDIRECT(ADDRESS(37,6))</f>
        <v>13:10</v>
      </c>
      <c r="H8" s="8" t="s">
        <v>7</v>
      </c>
      <c r="I8" s="7" t="str">
        <f ca="1">INDIRECT(ADDRESS(22,6))&amp;":"&amp;INDIRECT(ADDRESS(22,7))</f>
        <v>8:13</v>
      </c>
      <c r="J8" s="7" t="str">
        <f ca="1">INDIRECT(ADDRESS(26,7))&amp;":"&amp;INDIRECT(ADDRESS(26,6))</f>
        <v>13:5</v>
      </c>
      <c r="K8" s="11" t="str">
        <f ca="1">INDIRECT(ADDRESS(40,6))&amp;":"&amp;INDIRECT(ADDRESS(40,7))</f>
        <v>13:12</v>
      </c>
      <c r="L8" s="97">
        <f ca="1">IF(COUNT(F9:K9)=0,"",COUNTIF(F9:K9,"&gt;0")+0.5*COUNTIF(F9:K9,0))</f>
        <v>3</v>
      </c>
      <c r="M8" s="17">
        <v>-2</v>
      </c>
      <c r="N8" s="84">
        <v>4</v>
      </c>
    </row>
    <row r="9" spans="2:14" ht="24" customHeight="1">
      <c r="B9" s="89"/>
      <c r="C9" s="93"/>
      <c r="D9" s="94"/>
      <c r="E9" s="95"/>
      <c r="F9" s="23">
        <f ca="1">IF(LEN(INDIRECT(ADDRESS(ROW()-1, COLUMN())))=1,"",INDIRECT(ADDRESS(31,6))-INDIRECT(ADDRESS(31,7)))</f>
        <v>-5</v>
      </c>
      <c r="G9" s="17">
        <f ca="1">IF(LEN(INDIRECT(ADDRESS(ROW()-1, COLUMN())))=1,"",INDIRECT(ADDRESS(37,7))-INDIRECT(ADDRESS(37,6)))</f>
        <v>3</v>
      </c>
      <c r="H9" s="15" t="s">
        <v>7</v>
      </c>
      <c r="I9" s="17">
        <f ca="1">IF(LEN(INDIRECT(ADDRESS(ROW()-1, COLUMN())))=1,"",INDIRECT(ADDRESS(22,6))-INDIRECT(ADDRESS(22,7)))</f>
        <v>-5</v>
      </c>
      <c r="J9" s="17">
        <f ca="1">IF(LEN(INDIRECT(ADDRESS(ROW()-1, COLUMN())))=1,"",INDIRECT(ADDRESS(26,7))-INDIRECT(ADDRESS(26,6)))</f>
        <v>8</v>
      </c>
      <c r="K9" s="18">
        <f ca="1">IF(LEN(INDIRECT(ADDRESS(ROW()-1, COLUMN())))=1,"",INDIRECT(ADDRESS(40,6))-INDIRECT(ADDRESS(40,7)))</f>
        <v>1</v>
      </c>
      <c r="L9" s="97"/>
      <c r="M9" s="17">
        <f ca="1">IF(COUNT(F9:K9)=0,"",SUM(F9:K9))</f>
        <v>2</v>
      </c>
      <c r="N9" s="81"/>
    </row>
    <row r="10" spans="2:14" ht="24" customHeight="1">
      <c r="B10" s="98">
        <v>4</v>
      </c>
      <c r="C10" s="93" t="s">
        <v>42</v>
      </c>
      <c r="D10" s="94"/>
      <c r="E10" s="95"/>
      <c r="F10" s="12" t="str">
        <f ca="1">INDIRECT(ADDRESS(36,7))&amp;":"&amp;INDIRECT(ADDRESS(36,6))</f>
        <v>13:6</v>
      </c>
      <c r="G10" s="7" t="str">
        <f ca="1">INDIRECT(ADDRESS(41,6))&amp;":"&amp;INDIRECT(ADDRESS(41,7))</f>
        <v>10:13</v>
      </c>
      <c r="H10" s="7" t="str">
        <f ca="1">INDIRECT(ADDRESS(22,7))&amp;":"&amp;INDIRECT(ADDRESS(22,6))</f>
        <v>13:8</v>
      </c>
      <c r="I10" s="8" t="s">
        <v>7</v>
      </c>
      <c r="J10" s="7" t="str">
        <f ca="1">INDIRECT(ADDRESS(32,6))&amp;":"&amp;INDIRECT(ADDRESS(32,7))</f>
        <v>13:8</v>
      </c>
      <c r="K10" s="11" t="str">
        <f ca="1">INDIRECT(ADDRESS(25,7))&amp;":"&amp;INDIRECT(ADDRESS(25,6))</f>
        <v>8:13</v>
      </c>
      <c r="L10" s="97">
        <f ca="1">IF(COUNT(F11:K11)=0,"",COUNTIF(F11:K11,"&gt;0")+0.5*COUNTIF(F11:K11,0))</f>
        <v>3</v>
      </c>
      <c r="M10" s="17">
        <v>2</v>
      </c>
      <c r="N10" s="84">
        <v>2</v>
      </c>
    </row>
    <row r="11" spans="2:14" ht="24" customHeight="1">
      <c r="B11" s="89"/>
      <c r="C11" s="93"/>
      <c r="D11" s="94"/>
      <c r="E11" s="95"/>
      <c r="F11" s="23">
        <f ca="1">IF(LEN(INDIRECT(ADDRESS(ROW()-1, COLUMN())))=1,"",INDIRECT(ADDRESS(36,7))-INDIRECT(ADDRESS(36,6)))</f>
        <v>7</v>
      </c>
      <c r="G11" s="17">
        <f ca="1">IF(LEN(INDIRECT(ADDRESS(ROW()-1, COLUMN())))=1,"",INDIRECT(ADDRESS(41,6))-INDIRECT(ADDRESS(41,7)))</f>
        <v>-3</v>
      </c>
      <c r="H11" s="17">
        <f ca="1">IF(LEN(INDIRECT(ADDRESS(ROW()-1, COLUMN())))=1,"",INDIRECT(ADDRESS(22,7))-INDIRECT(ADDRESS(22,6)))</f>
        <v>5</v>
      </c>
      <c r="I11" s="15" t="s">
        <v>7</v>
      </c>
      <c r="J11" s="17">
        <f ca="1">IF(LEN(INDIRECT(ADDRESS(ROW()-1, COLUMN())))=1,"",INDIRECT(ADDRESS(32,6))-INDIRECT(ADDRESS(32,7)))</f>
        <v>5</v>
      </c>
      <c r="K11" s="18">
        <f ca="1">IF(LEN(INDIRECT(ADDRESS(ROW()-1, COLUMN())))=1,"",INDIRECT(ADDRESS(25,7))-INDIRECT(ADDRESS(25,6)))</f>
        <v>-5</v>
      </c>
      <c r="L11" s="97"/>
      <c r="M11" s="17">
        <f ca="1">IF(COUNT(F11:K11)=0,"",SUM(F11:K11))</f>
        <v>9</v>
      </c>
      <c r="N11" s="81"/>
    </row>
    <row r="12" spans="2:14" ht="24" customHeight="1">
      <c r="B12" s="98">
        <v>5</v>
      </c>
      <c r="C12" s="93" t="s">
        <v>43</v>
      </c>
      <c r="D12" s="94"/>
      <c r="E12" s="95"/>
      <c r="F12" s="12" t="str">
        <f ca="1">INDIRECT(ADDRESS(42,6))&amp;":"&amp;INDIRECT(ADDRESS(42,7))</f>
        <v>13:7</v>
      </c>
      <c r="G12" s="7" t="str">
        <f ca="1">INDIRECT(ADDRESS(21,7))&amp;":"&amp;INDIRECT(ADDRESS(21,6))</f>
        <v>5:13</v>
      </c>
      <c r="H12" s="7" t="str">
        <f ca="1">INDIRECT(ADDRESS(26,6))&amp;":"&amp;INDIRECT(ADDRESS(26,7))</f>
        <v>5:13</v>
      </c>
      <c r="I12" s="7" t="str">
        <f ca="1">INDIRECT(ADDRESS(32,7))&amp;":"&amp;INDIRECT(ADDRESS(32,6))</f>
        <v>8:13</v>
      </c>
      <c r="J12" s="8" t="s">
        <v>7</v>
      </c>
      <c r="K12" s="11" t="str">
        <f ca="1">INDIRECT(ADDRESS(35,7))&amp;":"&amp;INDIRECT(ADDRESS(35,6))</f>
        <v>5:13</v>
      </c>
      <c r="L12" s="97">
        <f ca="1">IF(COUNT(F13:K13)=0,"",COUNTIF(F13:K13,"&gt;0")+0.5*COUNTIF(F13:K13,0))</f>
        <v>1</v>
      </c>
      <c r="M12" s="17"/>
      <c r="N12" s="84">
        <v>5</v>
      </c>
    </row>
    <row r="13" spans="2:14" ht="24" customHeight="1">
      <c r="B13" s="89"/>
      <c r="C13" s="93"/>
      <c r="D13" s="94"/>
      <c r="E13" s="95"/>
      <c r="F13" s="23">
        <f ca="1">IF(LEN(INDIRECT(ADDRESS(ROW()-1, COLUMN())))=1,"",INDIRECT(ADDRESS(42,6))-INDIRECT(ADDRESS(42,7)))</f>
        <v>6</v>
      </c>
      <c r="G13" s="17">
        <f ca="1">IF(LEN(INDIRECT(ADDRESS(ROW()-1, COLUMN())))=1,"",INDIRECT(ADDRESS(21,7))-INDIRECT(ADDRESS(21,6)))</f>
        <v>-8</v>
      </c>
      <c r="H13" s="17">
        <f ca="1">IF(LEN(INDIRECT(ADDRESS(ROW()-1, COLUMN())))=1,"",INDIRECT(ADDRESS(26,6))-INDIRECT(ADDRESS(26,7)))</f>
        <v>-8</v>
      </c>
      <c r="I13" s="17">
        <f ca="1">IF(LEN(INDIRECT(ADDRESS(ROW()-1, COLUMN())))=1,"",INDIRECT(ADDRESS(32,7))-INDIRECT(ADDRESS(32,6)))</f>
        <v>-5</v>
      </c>
      <c r="J13" s="15" t="s">
        <v>7</v>
      </c>
      <c r="K13" s="18">
        <f ca="1">IF(LEN(INDIRECT(ADDRESS(ROW()-1, COLUMN())))=1,"",INDIRECT(ADDRESS(35,7))-INDIRECT(ADDRESS(35,6)))</f>
        <v>-8</v>
      </c>
      <c r="L13" s="97"/>
      <c r="M13" s="17">
        <f ca="1">IF(COUNT(F13:K13)=0,"",SUM(F13:K13))</f>
        <v>-23</v>
      </c>
      <c r="N13" s="81"/>
    </row>
    <row r="14" spans="2:14" ht="24" customHeight="1">
      <c r="B14" s="98">
        <v>6</v>
      </c>
      <c r="C14" s="93" t="s">
        <v>44</v>
      </c>
      <c r="D14" s="94"/>
      <c r="E14" s="95"/>
      <c r="F14" s="12" t="str">
        <f ca="1">INDIRECT(ADDRESS(20,7))&amp;":"&amp;INDIRECT(ADDRESS(20,6))</f>
        <v>11:7</v>
      </c>
      <c r="G14" s="7" t="str">
        <f ca="1">INDIRECT(ADDRESS(30,7))&amp;":"&amp;INDIRECT(ADDRESS(30,6))</f>
        <v>13:5</v>
      </c>
      <c r="H14" s="7" t="str">
        <f ca="1">INDIRECT(ADDRESS(40,7))&amp;":"&amp;INDIRECT(ADDRESS(40,6))</f>
        <v>12:13</v>
      </c>
      <c r="I14" s="7" t="str">
        <f ca="1">INDIRECT(ADDRESS(25,6))&amp;":"&amp;INDIRECT(ADDRESS(25,7))</f>
        <v>13:8</v>
      </c>
      <c r="J14" s="7" t="str">
        <f ca="1">INDIRECT(ADDRESS(35,6))&amp;":"&amp;INDIRECT(ADDRESS(35,7))</f>
        <v>13:5</v>
      </c>
      <c r="K14" s="13" t="s">
        <v>7</v>
      </c>
      <c r="L14" s="97">
        <f ca="1">IF(COUNT(F15:K15)=0,"",COUNTIF(F15:K15,"&gt;0")+0.5*COUNTIF(F15:K15,0))</f>
        <v>4</v>
      </c>
      <c r="M14" s="17"/>
      <c r="N14" s="84">
        <v>1</v>
      </c>
    </row>
    <row r="15" spans="2:14" ht="24" customHeight="1" thickBot="1">
      <c r="B15" s="103"/>
      <c r="C15" s="104"/>
      <c r="D15" s="105"/>
      <c r="E15" s="106"/>
      <c r="F15" s="20">
        <f ca="1">IF(LEN(INDIRECT(ADDRESS(ROW()-1, COLUMN())))=1,"",INDIRECT(ADDRESS(20,7))-INDIRECT(ADDRESS(20,6)))</f>
        <v>4</v>
      </c>
      <c r="G15" s="19">
        <f ca="1">IF(LEN(INDIRECT(ADDRESS(ROW()-1, COLUMN())))=1,"",INDIRECT(ADDRESS(30,7))-INDIRECT(ADDRESS(30,6)))</f>
        <v>8</v>
      </c>
      <c r="H15" s="19">
        <f ca="1">IF(LEN(INDIRECT(ADDRESS(ROW()-1, COLUMN())))=1,"",INDIRECT(ADDRESS(40,7))-INDIRECT(ADDRESS(40,6)))</f>
        <v>-1</v>
      </c>
      <c r="I15" s="19">
        <f ca="1">IF(LEN(INDIRECT(ADDRESS(ROW()-1, COLUMN())))=1,"",INDIRECT(ADDRESS(25,6))-INDIRECT(ADDRESS(25,7)))</f>
        <v>5</v>
      </c>
      <c r="J15" s="19">
        <f ca="1">IF(LEN(INDIRECT(ADDRESS(ROW()-1, COLUMN())))=1,"",INDIRECT(ADDRESS(35,6))-INDIRECT(ADDRESS(35,7)))</f>
        <v>8</v>
      </c>
      <c r="K15" s="16" t="s">
        <v>7</v>
      </c>
      <c r="L15" s="107"/>
      <c r="M15" s="19">
        <f ca="1">IF(COUNT(F15:K15)=0,"",SUM(F15:K15))</f>
        <v>24</v>
      </c>
      <c r="N15" s="108"/>
    </row>
    <row r="16" spans="2:14">
      <c r="M16"/>
    </row>
    <row r="17" spans="1:13">
      <c r="M17"/>
    </row>
    <row r="18" spans="1:13">
      <c r="M18"/>
    </row>
    <row r="19" spans="1:13" s="55" customFormat="1" ht="30" customHeight="1" thickBot="1">
      <c r="A19" s="54"/>
      <c r="B19" s="99" t="s">
        <v>4</v>
      </c>
      <c r="C19" s="99"/>
      <c r="D19" s="99"/>
      <c r="E19" s="99"/>
      <c r="F19" s="99"/>
      <c r="G19" s="99"/>
      <c r="H19" s="99"/>
      <c r="I19" s="99"/>
      <c r="J19" s="99"/>
      <c r="K19" s="99"/>
    </row>
    <row r="20" spans="1:13" s="55" customFormat="1" ht="30" customHeight="1" thickBot="1">
      <c r="A20" s="54"/>
      <c r="B20" s="59">
        <v>1</v>
      </c>
      <c r="C20" s="100" t="str">
        <f ca="1">IF(ISBLANK(INDIRECT(ADDRESS(B20*2+2,3))),"",INDIRECT(ADDRESS(B20*2+2,3)))</f>
        <v>Бархатова</v>
      </c>
      <c r="D20" s="100"/>
      <c r="E20" s="101"/>
      <c r="F20" s="56">
        <v>7</v>
      </c>
      <c r="G20" s="57">
        <v>11</v>
      </c>
      <c r="H20" s="102" t="str">
        <f ca="1">IF(ISBLANK(INDIRECT(ADDRESS(K20*2+2,3))),"",INDIRECT(ADDRESS(K20*2+2,3)))</f>
        <v>Потапова</v>
      </c>
      <c r="I20" s="100"/>
      <c r="J20" s="100"/>
      <c r="K20" s="59">
        <v>6</v>
      </c>
      <c r="L20" s="58" t="s">
        <v>25</v>
      </c>
      <c r="M20" s="53"/>
    </row>
    <row r="21" spans="1:13" s="55" customFormat="1" ht="30" customHeight="1" thickBot="1">
      <c r="A21" s="54"/>
      <c r="B21" s="59">
        <v>2</v>
      </c>
      <c r="C21" s="100" t="str">
        <f ca="1">IF(ISBLANK(INDIRECT(ADDRESS(B21*2+2,3))),"",INDIRECT(ADDRESS(B21*2+2,3)))</f>
        <v>Татаринова</v>
      </c>
      <c r="D21" s="100"/>
      <c r="E21" s="101"/>
      <c r="F21" s="56">
        <v>13</v>
      </c>
      <c r="G21" s="57">
        <v>5</v>
      </c>
      <c r="H21" s="102" t="str">
        <f ca="1">IF(ISBLANK(INDIRECT(ADDRESS(K21*2+2,3))),"",INDIRECT(ADDRESS(K21*2+2,3)))</f>
        <v>Королькова</v>
      </c>
      <c r="I21" s="100"/>
      <c r="J21" s="100"/>
      <c r="K21" s="59">
        <v>5</v>
      </c>
      <c r="L21" s="58" t="s">
        <v>26</v>
      </c>
      <c r="M21" s="53"/>
    </row>
    <row r="22" spans="1:13" s="55" customFormat="1" ht="30" customHeight="1" thickBot="1">
      <c r="A22" s="54"/>
      <c r="B22" s="59">
        <v>3</v>
      </c>
      <c r="C22" s="100" t="str">
        <f ca="1">IF(ISBLANK(INDIRECT(ADDRESS(B22*2+2,3))),"",INDIRECT(ADDRESS(B22*2+2,3)))</f>
        <v>Кукушкина</v>
      </c>
      <c r="D22" s="100"/>
      <c r="E22" s="101"/>
      <c r="F22" s="56">
        <v>8</v>
      </c>
      <c r="G22" s="57">
        <v>13</v>
      </c>
      <c r="H22" s="102" t="str">
        <f ca="1">IF(ISBLANK(INDIRECT(ADDRESS(K22*2+2,3))),"",INDIRECT(ADDRESS(K22*2+2,3)))</f>
        <v>Воронцова</v>
      </c>
      <c r="I22" s="100"/>
      <c r="J22" s="100"/>
      <c r="K22" s="59">
        <v>4</v>
      </c>
      <c r="L22" s="58" t="s">
        <v>27</v>
      </c>
      <c r="M22" s="53"/>
    </row>
    <row r="23" spans="1:13" s="55" customFormat="1" ht="30" customHeight="1">
      <c r="A23" s="54"/>
      <c r="M23" s="60"/>
    </row>
    <row r="24" spans="1:13" s="55" customFormat="1" ht="30" customHeight="1" thickBot="1">
      <c r="A24" s="54"/>
      <c r="B24" s="99" t="s">
        <v>5</v>
      </c>
      <c r="C24" s="99"/>
      <c r="D24" s="99"/>
      <c r="E24" s="99"/>
      <c r="F24" s="99"/>
      <c r="G24" s="99"/>
      <c r="H24" s="99"/>
      <c r="I24" s="99"/>
      <c r="J24" s="99"/>
      <c r="K24" s="99"/>
      <c r="M24" s="60"/>
    </row>
    <row r="25" spans="1:13" s="55" customFormat="1" ht="30" customHeight="1" thickBot="1">
      <c r="A25" s="54"/>
      <c r="B25" s="59">
        <v>6</v>
      </c>
      <c r="C25" s="100" t="str">
        <f ca="1">IF(ISBLANK(INDIRECT(ADDRESS(B25*2+2,3))),"",INDIRECT(ADDRESS(B25*2+2,3)))</f>
        <v>Потапова</v>
      </c>
      <c r="D25" s="100"/>
      <c r="E25" s="101"/>
      <c r="F25" s="56">
        <v>13</v>
      </c>
      <c r="G25" s="57">
        <v>8</v>
      </c>
      <c r="H25" s="102" t="str">
        <f ca="1">IF(ISBLANK(INDIRECT(ADDRESS(K25*2+2,3))),"",INDIRECT(ADDRESS(K25*2+2,3)))</f>
        <v>Воронцова</v>
      </c>
      <c r="I25" s="100"/>
      <c r="J25" s="100"/>
      <c r="K25" s="59">
        <v>4</v>
      </c>
      <c r="L25" s="58" t="s">
        <v>19</v>
      </c>
      <c r="M25" s="53"/>
    </row>
    <row r="26" spans="1:13" s="55" customFormat="1" ht="30" customHeight="1" thickBot="1">
      <c r="A26" s="54"/>
      <c r="B26" s="59">
        <v>5</v>
      </c>
      <c r="C26" s="100" t="str">
        <f ca="1">IF(ISBLANK(INDIRECT(ADDRESS(B26*2+2,3))),"",INDIRECT(ADDRESS(B26*2+2,3)))</f>
        <v>Королькова</v>
      </c>
      <c r="D26" s="100"/>
      <c r="E26" s="101"/>
      <c r="F26" s="56">
        <v>5</v>
      </c>
      <c r="G26" s="57">
        <v>13</v>
      </c>
      <c r="H26" s="102" t="str">
        <f ca="1">IF(ISBLANK(INDIRECT(ADDRESS(K26*2+2,3))),"",INDIRECT(ADDRESS(K26*2+2,3)))</f>
        <v>Кукушкина</v>
      </c>
      <c r="I26" s="100"/>
      <c r="J26" s="100"/>
      <c r="K26" s="59">
        <v>3</v>
      </c>
      <c r="L26" s="58" t="s">
        <v>20</v>
      </c>
      <c r="M26" s="53"/>
    </row>
    <row r="27" spans="1:13" s="55" customFormat="1" ht="30" customHeight="1" thickBot="1">
      <c r="A27" s="54"/>
      <c r="B27" s="59">
        <v>1</v>
      </c>
      <c r="C27" s="100" t="str">
        <f ca="1">IF(ISBLANK(INDIRECT(ADDRESS(B27*2+2,3))),"",INDIRECT(ADDRESS(B27*2+2,3)))</f>
        <v>Бархатова</v>
      </c>
      <c r="D27" s="100"/>
      <c r="E27" s="101"/>
      <c r="F27" s="56">
        <v>6</v>
      </c>
      <c r="G27" s="57">
        <v>13</v>
      </c>
      <c r="H27" s="102" t="str">
        <f ca="1">IF(ISBLANK(INDIRECT(ADDRESS(K27*2+2,3))),"",INDIRECT(ADDRESS(K27*2+2,3)))</f>
        <v>Татаринова</v>
      </c>
      <c r="I27" s="100"/>
      <c r="J27" s="100"/>
      <c r="K27" s="59">
        <v>2</v>
      </c>
      <c r="L27" s="58" t="s">
        <v>21</v>
      </c>
      <c r="M27" s="53"/>
    </row>
    <row r="28" spans="1:13" s="55" customFormat="1" ht="30" customHeight="1">
      <c r="A28" s="54"/>
      <c r="M28" s="60"/>
    </row>
    <row r="29" spans="1:13" s="55" customFormat="1" ht="30" customHeight="1" thickBot="1">
      <c r="A29" s="54"/>
      <c r="B29" s="99" t="s">
        <v>6</v>
      </c>
      <c r="C29" s="99"/>
      <c r="D29" s="99"/>
      <c r="E29" s="99"/>
      <c r="F29" s="99"/>
      <c r="G29" s="99"/>
      <c r="H29" s="99"/>
      <c r="I29" s="99"/>
      <c r="J29" s="99"/>
      <c r="K29" s="99"/>
      <c r="M29" s="60"/>
    </row>
    <row r="30" spans="1:13" s="55" customFormat="1" ht="30" customHeight="1" thickBot="1">
      <c r="A30" s="54"/>
      <c r="B30" s="59">
        <v>2</v>
      </c>
      <c r="C30" s="100" t="str">
        <f ca="1">IF(ISBLANK(INDIRECT(ADDRESS(B30*2+2,3))),"",INDIRECT(ADDRESS(B30*2+2,3)))</f>
        <v>Татаринова</v>
      </c>
      <c r="D30" s="100"/>
      <c r="E30" s="101"/>
      <c r="F30" s="56">
        <v>5</v>
      </c>
      <c r="G30" s="57">
        <v>13</v>
      </c>
      <c r="H30" s="102" t="str">
        <f ca="1">IF(ISBLANK(INDIRECT(ADDRESS(K30*2+2,3))),"",INDIRECT(ADDRESS(K30*2+2,3)))</f>
        <v>Потапова</v>
      </c>
      <c r="I30" s="100"/>
      <c r="J30" s="100"/>
      <c r="K30" s="59">
        <v>6</v>
      </c>
      <c r="L30" s="58" t="s">
        <v>22</v>
      </c>
      <c r="M30" s="53"/>
    </row>
    <row r="31" spans="1:13" s="55" customFormat="1" ht="30" customHeight="1" thickBot="1">
      <c r="A31" s="54"/>
      <c r="B31" s="59">
        <v>3</v>
      </c>
      <c r="C31" s="100" t="str">
        <f ca="1">IF(ISBLANK(INDIRECT(ADDRESS(B31*2+2,3))),"",INDIRECT(ADDRESS(B31*2+2,3)))</f>
        <v>Кукушкина</v>
      </c>
      <c r="D31" s="100"/>
      <c r="E31" s="101"/>
      <c r="F31" s="56">
        <v>8</v>
      </c>
      <c r="G31" s="57">
        <v>13</v>
      </c>
      <c r="H31" s="102" t="str">
        <f ca="1">IF(ISBLANK(INDIRECT(ADDRESS(K31*2+2,3))),"",INDIRECT(ADDRESS(K31*2+2,3)))</f>
        <v>Бархатова</v>
      </c>
      <c r="I31" s="100"/>
      <c r="J31" s="100"/>
      <c r="K31" s="59">
        <v>1</v>
      </c>
      <c r="L31" s="58" t="s">
        <v>23</v>
      </c>
      <c r="M31" s="53"/>
    </row>
    <row r="32" spans="1:13" s="55" customFormat="1" ht="30" customHeight="1" thickBot="1">
      <c r="A32" s="54"/>
      <c r="B32" s="59">
        <v>4</v>
      </c>
      <c r="C32" s="100" t="str">
        <f ca="1">IF(ISBLANK(INDIRECT(ADDRESS(B32*2+2,3))),"",INDIRECT(ADDRESS(B32*2+2,3)))</f>
        <v>Воронцова</v>
      </c>
      <c r="D32" s="100"/>
      <c r="E32" s="101"/>
      <c r="F32" s="56">
        <v>13</v>
      </c>
      <c r="G32" s="57">
        <v>8</v>
      </c>
      <c r="H32" s="102" t="str">
        <f ca="1">IF(ISBLANK(INDIRECT(ADDRESS(K32*2+2,3))),"",INDIRECT(ADDRESS(K32*2+2,3)))</f>
        <v>Королькова</v>
      </c>
      <c r="I32" s="100"/>
      <c r="J32" s="100"/>
      <c r="K32" s="59">
        <v>5</v>
      </c>
      <c r="L32" s="58" t="s">
        <v>24</v>
      </c>
      <c r="M32" s="53"/>
    </row>
    <row r="33" spans="1:13" s="55" customFormat="1" ht="30" customHeight="1">
      <c r="A33" s="54"/>
      <c r="M33" s="60"/>
    </row>
    <row r="34" spans="1:13" s="55" customFormat="1" ht="30" customHeight="1" thickBot="1">
      <c r="A34" s="54"/>
      <c r="B34" s="99" t="s">
        <v>8</v>
      </c>
      <c r="C34" s="99"/>
      <c r="D34" s="99"/>
      <c r="E34" s="99"/>
      <c r="F34" s="99"/>
      <c r="G34" s="99"/>
      <c r="H34" s="99"/>
      <c r="I34" s="99"/>
      <c r="J34" s="99"/>
      <c r="K34" s="99"/>
      <c r="M34" s="60"/>
    </row>
    <row r="35" spans="1:13" s="55" customFormat="1" ht="30" customHeight="1" thickBot="1">
      <c r="A35" s="54"/>
      <c r="B35" s="59">
        <v>6</v>
      </c>
      <c r="C35" s="100" t="str">
        <f ca="1">IF(ISBLANK(INDIRECT(ADDRESS(B35*2+2,3))),"",INDIRECT(ADDRESS(B35*2+2,3)))</f>
        <v>Потапова</v>
      </c>
      <c r="D35" s="100"/>
      <c r="E35" s="101"/>
      <c r="F35" s="56">
        <v>13</v>
      </c>
      <c r="G35" s="57">
        <v>5</v>
      </c>
      <c r="H35" s="102" t="str">
        <f ca="1">IF(ISBLANK(INDIRECT(ADDRESS(K35*2+2,3))),"",INDIRECT(ADDRESS(K35*2+2,3)))</f>
        <v>Королькова</v>
      </c>
      <c r="I35" s="100"/>
      <c r="J35" s="100"/>
      <c r="K35" s="59">
        <v>5</v>
      </c>
      <c r="L35" s="58" t="s">
        <v>25</v>
      </c>
      <c r="M35" s="53"/>
    </row>
    <row r="36" spans="1:13" s="55" customFormat="1" ht="30" customHeight="1" thickBot="1">
      <c r="A36" s="54"/>
      <c r="B36" s="59">
        <v>1</v>
      </c>
      <c r="C36" s="100" t="str">
        <f ca="1">IF(ISBLANK(INDIRECT(ADDRESS(B36*2+2,3))),"",INDIRECT(ADDRESS(B36*2+2,3)))</f>
        <v>Бархатова</v>
      </c>
      <c r="D36" s="100"/>
      <c r="E36" s="101"/>
      <c r="F36" s="56">
        <v>6</v>
      </c>
      <c r="G36" s="57">
        <v>13</v>
      </c>
      <c r="H36" s="102" t="str">
        <f ca="1">IF(ISBLANK(INDIRECT(ADDRESS(K36*2+2,3))),"",INDIRECT(ADDRESS(K36*2+2,3)))</f>
        <v>Воронцова</v>
      </c>
      <c r="I36" s="100"/>
      <c r="J36" s="100"/>
      <c r="K36" s="59">
        <v>4</v>
      </c>
      <c r="L36" s="58" t="s">
        <v>26</v>
      </c>
      <c r="M36" s="53"/>
    </row>
    <row r="37" spans="1:13" s="55" customFormat="1" ht="30" customHeight="1" thickBot="1">
      <c r="A37" s="54"/>
      <c r="B37" s="59">
        <v>2</v>
      </c>
      <c r="C37" s="100" t="str">
        <f ca="1">IF(ISBLANK(INDIRECT(ADDRESS(B37*2+2,3))),"",INDIRECT(ADDRESS(B37*2+2,3)))</f>
        <v>Татаринова</v>
      </c>
      <c r="D37" s="100"/>
      <c r="E37" s="101"/>
      <c r="F37" s="56">
        <v>10</v>
      </c>
      <c r="G37" s="57">
        <v>13</v>
      </c>
      <c r="H37" s="102" t="str">
        <f ca="1">IF(ISBLANK(INDIRECT(ADDRESS(K37*2+2,3))),"",INDIRECT(ADDRESS(K37*2+2,3)))</f>
        <v>Кукушкина</v>
      </c>
      <c r="I37" s="100"/>
      <c r="J37" s="100"/>
      <c r="K37" s="59">
        <v>3</v>
      </c>
      <c r="L37" s="58" t="s">
        <v>27</v>
      </c>
      <c r="M37" s="53"/>
    </row>
    <row r="38" spans="1:13" s="55" customFormat="1" ht="30" customHeight="1">
      <c r="A38" s="54"/>
      <c r="M38" s="60"/>
    </row>
    <row r="39" spans="1:13" s="55" customFormat="1" ht="30" customHeight="1" thickBot="1">
      <c r="A39" s="54"/>
      <c r="B39" s="99" t="s">
        <v>9</v>
      </c>
      <c r="C39" s="99"/>
      <c r="D39" s="99"/>
      <c r="E39" s="99"/>
      <c r="F39" s="99"/>
      <c r="G39" s="99"/>
      <c r="H39" s="99"/>
      <c r="I39" s="99"/>
      <c r="J39" s="99"/>
      <c r="K39" s="99"/>
      <c r="M39" s="60"/>
    </row>
    <row r="40" spans="1:13" s="55" customFormat="1" ht="30" customHeight="1" thickBot="1">
      <c r="A40" s="54"/>
      <c r="B40" s="59">
        <v>3</v>
      </c>
      <c r="C40" s="100" t="str">
        <f ca="1">IF(ISBLANK(INDIRECT(ADDRESS(B40*2+2,3))),"",INDIRECT(ADDRESS(B40*2+2,3)))</f>
        <v>Кукушкина</v>
      </c>
      <c r="D40" s="100"/>
      <c r="E40" s="101"/>
      <c r="F40" s="56">
        <v>13</v>
      </c>
      <c r="G40" s="57">
        <v>12</v>
      </c>
      <c r="H40" s="102" t="str">
        <f ca="1">IF(ISBLANK(INDIRECT(ADDRESS(K40*2+2,3))),"",INDIRECT(ADDRESS(K40*2+2,3)))</f>
        <v>Потапова</v>
      </c>
      <c r="I40" s="100"/>
      <c r="J40" s="100"/>
      <c r="K40" s="59">
        <v>6</v>
      </c>
      <c r="L40" s="58" t="s">
        <v>19</v>
      </c>
      <c r="M40" s="53"/>
    </row>
    <row r="41" spans="1:13" s="55" customFormat="1" ht="30" customHeight="1" thickBot="1">
      <c r="A41" s="54"/>
      <c r="B41" s="59">
        <v>4</v>
      </c>
      <c r="C41" s="100" t="str">
        <f ca="1">IF(ISBLANK(INDIRECT(ADDRESS(B41*2+2,3))),"",INDIRECT(ADDRESS(B41*2+2,3)))</f>
        <v>Воронцова</v>
      </c>
      <c r="D41" s="100"/>
      <c r="E41" s="101"/>
      <c r="F41" s="56">
        <v>10</v>
      </c>
      <c r="G41" s="57">
        <v>13</v>
      </c>
      <c r="H41" s="102" t="str">
        <f ca="1">IF(ISBLANK(INDIRECT(ADDRESS(K41*2+2,3))),"",INDIRECT(ADDRESS(K41*2+2,3)))</f>
        <v>Татаринова</v>
      </c>
      <c r="I41" s="100"/>
      <c r="J41" s="100"/>
      <c r="K41" s="59">
        <v>2</v>
      </c>
      <c r="L41" s="58" t="s">
        <v>20</v>
      </c>
      <c r="M41" s="53"/>
    </row>
    <row r="42" spans="1:13" s="55" customFormat="1" ht="30" customHeight="1" thickBot="1">
      <c r="A42" s="54"/>
      <c r="B42" s="59">
        <v>5</v>
      </c>
      <c r="C42" s="100" t="str">
        <f ca="1">IF(ISBLANK(INDIRECT(ADDRESS(B42*2+2,3))),"",INDIRECT(ADDRESS(B42*2+2,3)))</f>
        <v>Королькова</v>
      </c>
      <c r="D42" s="100"/>
      <c r="E42" s="101"/>
      <c r="F42" s="56">
        <v>13</v>
      </c>
      <c r="G42" s="57">
        <v>7</v>
      </c>
      <c r="H42" s="102" t="str">
        <f ca="1">IF(ISBLANK(INDIRECT(ADDRESS(K42*2+2,3))),"",INDIRECT(ADDRESS(K42*2+2,3)))</f>
        <v>Бархатова</v>
      </c>
      <c r="I42" s="100"/>
      <c r="J42" s="100"/>
      <c r="K42" s="59">
        <v>1</v>
      </c>
      <c r="L42" s="58" t="s">
        <v>21</v>
      </c>
      <c r="M42" s="53"/>
    </row>
    <row r="46" spans="1:13" ht="21">
      <c r="C46" s="61" t="s">
        <v>122</v>
      </c>
      <c r="D46" s="61"/>
      <c r="E46" s="61"/>
      <c r="F46" s="61"/>
    </row>
    <row r="47" spans="1:13" ht="21">
      <c r="C47" s="61"/>
      <c r="D47" s="61"/>
      <c r="E47" s="61"/>
      <c r="F47" s="61"/>
    </row>
    <row r="48" spans="1:13" ht="21">
      <c r="C48" s="61"/>
      <c r="D48" s="61"/>
      <c r="E48" s="61"/>
      <c r="F48" s="61"/>
    </row>
    <row r="49" spans="3:6" ht="21">
      <c r="C49" s="61" t="s">
        <v>29</v>
      </c>
      <c r="D49" s="61"/>
      <c r="E49" s="61"/>
      <c r="F49" s="61"/>
    </row>
  </sheetData>
  <sheetCalcPr fullCalcOnLoad="1"/>
  <mergeCells count="62">
    <mergeCell ref="B1:N1"/>
    <mergeCell ref="B2:N2"/>
    <mergeCell ref="N6:N7"/>
    <mergeCell ref="C3:E3"/>
    <mergeCell ref="B4:B5"/>
    <mergeCell ref="C4:E5"/>
    <mergeCell ref="L4:L5"/>
    <mergeCell ref="N4:N5"/>
    <mergeCell ref="L14:L15"/>
    <mergeCell ref="N14:N15"/>
    <mergeCell ref="L12:L13"/>
    <mergeCell ref="N12:N13"/>
    <mergeCell ref="B6:B7"/>
    <mergeCell ref="C6:E7"/>
    <mergeCell ref="L6:L7"/>
    <mergeCell ref="B10:B11"/>
    <mergeCell ref="C10:E11"/>
    <mergeCell ref="L10:L11"/>
    <mergeCell ref="N10:N11"/>
    <mergeCell ref="B8:B9"/>
    <mergeCell ref="C8:E9"/>
    <mergeCell ref="L8:L9"/>
    <mergeCell ref="N8:N9"/>
    <mergeCell ref="B12:B13"/>
    <mergeCell ref="C12:E13"/>
    <mergeCell ref="B19:K19"/>
    <mergeCell ref="C20:E20"/>
    <mergeCell ref="H20:J20"/>
    <mergeCell ref="B14:B15"/>
    <mergeCell ref="C14:E15"/>
    <mergeCell ref="C21:E21"/>
    <mergeCell ref="H21:J21"/>
    <mergeCell ref="B24:K24"/>
    <mergeCell ref="C25:E25"/>
    <mergeCell ref="H25:J25"/>
    <mergeCell ref="C22:E22"/>
    <mergeCell ref="H22:J22"/>
    <mergeCell ref="C26:E26"/>
    <mergeCell ref="H26:J26"/>
    <mergeCell ref="C27:E27"/>
    <mergeCell ref="C42:E42"/>
    <mergeCell ref="H42:J42"/>
    <mergeCell ref="H27:J27"/>
    <mergeCell ref="B39:K39"/>
    <mergeCell ref="C30:E30"/>
    <mergeCell ref="H30:J30"/>
    <mergeCell ref="C31:E31"/>
    <mergeCell ref="B29:K29"/>
    <mergeCell ref="B34:K34"/>
    <mergeCell ref="C35:E35"/>
    <mergeCell ref="H31:J31"/>
    <mergeCell ref="C32:E32"/>
    <mergeCell ref="H32:J32"/>
    <mergeCell ref="C41:E41"/>
    <mergeCell ref="H41:J41"/>
    <mergeCell ref="H35:J35"/>
    <mergeCell ref="C36:E36"/>
    <mergeCell ref="H36:J36"/>
    <mergeCell ref="C40:E40"/>
    <mergeCell ref="H40:J40"/>
    <mergeCell ref="C37:E37"/>
    <mergeCell ref="H37:J37"/>
  </mergeCells>
  <phoneticPr fontId="0" type="noConversion"/>
  <printOptions horizontalCentered="1"/>
  <pageMargins left="0.25" right="0.25" top="0.75" bottom="0.75" header="0.3" footer="0.3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workbookViewId="0">
      <selection activeCell="I28" sqref="I28"/>
    </sheetView>
  </sheetViews>
  <sheetFormatPr defaultRowHeight="15" customHeight="1"/>
  <cols>
    <col min="1" max="1" width="9.140625" style="30"/>
    <col min="2" max="13" width="9.140625" style="29"/>
    <col min="14" max="14" width="11" style="29" customWidth="1"/>
    <col min="15" max="16384" width="9.140625" style="29"/>
  </cols>
  <sheetData>
    <row r="1" spans="2:14" ht="59.25" customHeight="1">
      <c r="B1" s="82" t="s">
        <v>28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52.5" customHeight="1" thickBot="1">
      <c r="B2" s="83" t="s">
        <v>38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2:14" ht="15" customHeight="1">
      <c r="C3" s="37"/>
    </row>
    <row r="4" spans="2:14" ht="15" customHeight="1">
      <c r="C4" s="37"/>
    </row>
    <row r="5" spans="2:14" ht="15" customHeight="1">
      <c r="B5" s="109" t="s">
        <v>44</v>
      </c>
      <c r="C5" s="110"/>
      <c r="D5" s="28">
        <v>13</v>
      </c>
      <c r="E5" s="31"/>
    </row>
    <row r="6" spans="2:14" ht="15" customHeight="1">
      <c r="C6" s="37"/>
      <c r="E6" s="32"/>
    </row>
    <row r="7" spans="2:14" ht="15" customHeight="1">
      <c r="B7" s="36" t="s">
        <v>23</v>
      </c>
      <c r="C7" s="37"/>
      <c r="E7" s="33"/>
      <c r="F7" s="111" t="str">
        <f>IF(ISBLANK(D5),"",IF(D5&gt;D9,B5,B9))</f>
        <v>Потапова</v>
      </c>
      <c r="G7" s="110"/>
      <c r="H7" s="28">
        <v>5</v>
      </c>
      <c r="I7" s="31"/>
    </row>
    <row r="8" spans="2:14" ht="15" customHeight="1">
      <c r="C8" s="37"/>
      <c r="E8" s="33"/>
      <c r="I8" s="32"/>
    </row>
    <row r="9" spans="2:14" ht="15" customHeight="1">
      <c r="B9" s="109" t="s">
        <v>41</v>
      </c>
      <c r="C9" s="110"/>
      <c r="D9" s="28">
        <v>5</v>
      </c>
      <c r="E9" s="34"/>
      <c r="I9" s="33"/>
    </row>
    <row r="10" spans="2:14" ht="15" customHeight="1">
      <c r="C10" s="37"/>
      <c r="I10" s="33"/>
      <c r="M10" s="35"/>
    </row>
    <row r="11" spans="2:14" ht="15" customHeight="1">
      <c r="C11" s="37"/>
      <c r="G11" s="36" t="s">
        <v>25</v>
      </c>
      <c r="H11" s="37"/>
      <c r="I11" s="33"/>
      <c r="J11" s="111" t="str">
        <f>IF(ISBLANK(H7),"",IF(H7&gt;H15,F7,F15))</f>
        <v>Татаринова</v>
      </c>
      <c r="K11" s="109"/>
      <c r="L11" s="52"/>
      <c r="M11" s="35"/>
    </row>
    <row r="12" spans="2:14" ht="15" customHeight="1">
      <c r="C12" s="37"/>
      <c r="I12" s="33"/>
      <c r="M12" s="35"/>
    </row>
    <row r="13" spans="2:14" ht="15" customHeight="1">
      <c r="B13" s="109" t="s">
        <v>40</v>
      </c>
      <c r="C13" s="110"/>
      <c r="D13" s="28">
        <v>13</v>
      </c>
      <c r="E13" s="31"/>
      <c r="I13" s="33"/>
      <c r="M13" s="35"/>
    </row>
    <row r="14" spans="2:14" ht="15" customHeight="1">
      <c r="C14" s="37"/>
      <c r="E14" s="32"/>
      <c r="I14" s="33"/>
      <c r="M14" s="35"/>
    </row>
    <row r="15" spans="2:14" ht="15" customHeight="1">
      <c r="B15" s="36" t="s">
        <v>24</v>
      </c>
      <c r="C15" s="37"/>
      <c r="E15" s="33"/>
      <c r="F15" s="111" t="str">
        <f>IF(ISBLANK(D13),"",IF(D13&gt;D17,B13,B17))</f>
        <v>Татаринова</v>
      </c>
      <c r="G15" s="110"/>
      <c r="H15" s="28">
        <v>13</v>
      </c>
      <c r="I15" s="34"/>
      <c r="M15" s="35"/>
    </row>
    <row r="16" spans="2:14" ht="15" customHeight="1">
      <c r="E16" s="33"/>
      <c r="M16" s="35"/>
    </row>
    <row r="17" spans="2:13" ht="15" customHeight="1">
      <c r="B17" s="109" t="s">
        <v>42</v>
      </c>
      <c r="C17" s="110"/>
      <c r="D17" s="28">
        <v>8</v>
      </c>
      <c r="E17" s="34"/>
      <c r="M17" s="35"/>
    </row>
    <row r="21" spans="2:13" ht="15" customHeight="1">
      <c r="B21" s="109" t="str">
        <f>IF(ISBLANK(D5),"",IF(D5&gt;D9,B9,B5))</f>
        <v>Кукушкина</v>
      </c>
      <c r="C21" s="110"/>
      <c r="D21" s="28">
        <v>13</v>
      </c>
      <c r="E21" s="31"/>
      <c r="F21" s="112"/>
      <c r="G21" s="112"/>
    </row>
    <row r="22" spans="2:13" ht="15" customHeight="1">
      <c r="E22" s="32"/>
    </row>
    <row r="23" spans="2:13" ht="15" customHeight="1">
      <c r="C23" s="36" t="s">
        <v>26</v>
      </c>
      <c r="E23" s="33"/>
      <c r="F23" s="111" t="str">
        <f>IF(ISBLANK(D21),"",IF(D21&gt;D25,B21,B25))</f>
        <v>Кукушкина</v>
      </c>
      <c r="G23" s="109"/>
    </row>
    <row r="24" spans="2:13" ht="15" customHeight="1">
      <c r="E24" s="33"/>
    </row>
    <row r="25" spans="2:13" ht="15" customHeight="1">
      <c r="B25" s="109" t="str">
        <f>IF(ISBLANK(D13),"",IF(D13&gt;D17,B17,B13))</f>
        <v>Воронцова</v>
      </c>
      <c r="C25" s="110"/>
      <c r="D25" s="28">
        <v>8</v>
      </c>
      <c r="E25" s="34"/>
    </row>
    <row r="29" spans="2:13" ht="18.75" customHeight="1">
      <c r="B29" s="61" t="s">
        <v>122</v>
      </c>
      <c r="C29" s="61"/>
      <c r="D29" s="61"/>
      <c r="E29" s="61"/>
      <c r="F29"/>
      <c r="G29"/>
      <c r="H29"/>
      <c r="I29"/>
    </row>
    <row r="30" spans="2:13" ht="15" customHeight="1">
      <c r="B30" s="61"/>
      <c r="C30" s="61"/>
      <c r="D30" s="61"/>
      <c r="E30" s="61"/>
      <c r="F30"/>
      <c r="G30"/>
      <c r="H30"/>
      <c r="I30"/>
    </row>
    <row r="31" spans="2:13" ht="15" customHeight="1">
      <c r="B31" s="61"/>
      <c r="C31" s="61"/>
      <c r="D31" s="61"/>
      <c r="E31" s="61"/>
      <c r="F31"/>
      <c r="G31"/>
      <c r="H31"/>
      <c r="I31"/>
    </row>
    <row r="32" spans="2:13" ht="21" customHeight="1">
      <c r="B32" s="61" t="s">
        <v>29</v>
      </c>
      <c r="C32" s="61"/>
      <c r="D32" s="61"/>
      <c r="E32" s="61"/>
      <c r="F32"/>
      <c r="G32"/>
      <c r="H32"/>
      <c r="I32"/>
    </row>
  </sheetData>
  <mergeCells count="13">
    <mergeCell ref="F23:G23"/>
    <mergeCell ref="B25:C25"/>
    <mergeCell ref="B21:C21"/>
    <mergeCell ref="F21:G21"/>
    <mergeCell ref="B13:C13"/>
    <mergeCell ref="F15:G15"/>
    <mergeCell ref="B17:C17"/>
    <mergeCell ref="B1:N1"/>
    <mergeCell ref="B5:C5"/>
    <mergeCell ref="F7:G7"/>
    <mergeCell ref="B9:C9"/>
    <mergeCell ref="B2:N2"/>
    <mergeCell ref="J11:K1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8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1"/>
  <sheetViews>
    <sheetView topLeftCell="A49" workbookViewId="0">
      <selection activeCell="J58" sqref="J58"/>
    </sheetView>
  </sheetViews>
  <sheetFormatPr defaultRowHeight="15"/>
  <cols>
    <col min="1" max="1" width="4" style="30" customWidth="1"/>
    <col min="2" max="12" width="10.28515625" customWidth="1"/>
    <col min="13" max="13" width="10.28515625" style="38" customWidth="1"/>
    <col min="14" max="15" width="10.28515625" customWidth="1"/>
  </cols>
  <sheetData>
    <row r="1" spans="2:15" ht="36" customHeight="1">
      <c r="B1" s="82" t="s">
        <v>28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2:15" ht="45.75" customHeight="1" thickBot="1">
      <c r="B2" s="83" t="s">
        <v>48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2:15" ht="30" customHeight="1" thickBot="1">
      <c r="B3" s="25"/>
      <c r="C3" s="85" t="s">
        <v>0</v>
      </c>
      <c r="D3" s="86"/>
      <c r="E3" s="87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22">
        <v>7</v>
      </c>
      <c r="M3" s="3" t="s">
        <v>1</v>
      </c>
      <c r="N3" s="1" t="s">
        <v>3</v>
      </c>
      <c r="O3" s="4" t="s">
        <v>2</v>
      </c>
    </row>
    <row r="4" spans="2:15" ht="24" customHeight="1">
      <c r="B4" s="88">
        <v>1</v>
      </c>
      <c r="C4" s="90" t="s">
        <v>50</v>
      </c>
      <c r="D4" s="91"/>
      <c r="E4" s="92"/>
      <c r="F4" s="10"/>
      <c r="G4" s="6" t="str">
        <f ca="1">INDIRECT(ADDRESS(29,6))&amp;":"&amp;INDIRECT(ADDRESS(29,7))</f>
        <v>9:8</v>
      </c>
      <c r="H4" s="6" t="str">
        <f ca="1">INDIRECT(ADDRESS(32,7))&amp;":"&amp;INDIRECT(ADDRESS(32,6))</f>
        <v>4:13</v>
      </c>
      <c r="I4" s="6" t="str">
        <f ca="1">INDIRECT(ADDRESS(38,6))&amp;":"&amp;INDIRECT(ADDRESS(38,7))</f>
        <v>13:4</v>
      </c>
      <c r="J4" s="6" t="str">
        <f ca="1">INDIRECT(ADDRESS(43,7))&amp;":"&amp;INDIRECT(ADDRESS(43,6))</f>
        <v>2:13</v>
      </c>
      <c r="K4" s="43" t="str">
        <f ca="1">INDIRECT(ADDRESS(47,6))&amp;":"&amp;INDIRECT(ADDRESS(47,7))</f>
        <v>11:3</v>
      </c>
      <c r="L4" s="21" t="str">
        <f ca="1">INDIRECT(ADDRESS(54,7))&amp;":"&amp;INDIRECT(ADDRESS(54,6))</f>
        <v>4:13</v>
      </c>
      <c r="M4" s="114">
        <f ca="1">IF(COUNT(F5:L5)=0,"",COUNTIF(F5:L5,"&gt;0")+0.5*COUNTIF(F5:L5,0))</f>
        <v>3</v>
      </c>
      <c r="N4" s="62" t="s">
        <v>57</v>
      </c>
      <c r="O4" s="80">
        <v>4</v>
      </c>
    </row>
    <row r="5" spans="2:15" ht="24" customHeight="1">
      <c r="B5" s="89"/>
      <c r="C5" s="93"/>
      <c r="D5" s="94"/>
      <c r="E5" s="95"/>
      <c r="F5" s="14"/>
      <c r="G5" s="17">
        <f ca="1">IF(LEN(INDIRECT(ADDRESS(ROW()-1, COLUMN())))=1,"",INDIRECT(ADDRESS(29,6))-INDIRECT(ADDRESS(29,7)))</f>
        <v>1</v>
      </c>
      <c r="H5" s="17">
        <f ca="1">IF(LEN(INDIRECT(ADDRESS(ROW()-1, COLUMN())))=1,"",INDIRECT(ADDRESS(32,7))-INDIRECT(ADDRESS(32,6)))</f>
        <v>-9</v>
      </c>
      <c r="I5" s="17">
        <f ca="1">IF(LEN(INDIRECT(ADDRESS(ROW()-1, COLUMN())))=1,"",INDIRECT(ADDRESS(38,6))-INDIRECT(ADDRESS(38,7)))</f>
        <v>9</v>
      </c>
      <c r="J5" s="17">
        <f ca="1">IF(LEN(INDIRECT(ADDRESS(ROW()-1, COLUMN())))=1,"",INDIRECT(ADDRESS(43,7))-INDIRECT(ADDRESS(43,6)))</f>
        <v>-11</v>
      </c>
      <c r="K5" s="44">
        <f ca="1">IF(LEN(INDIRECT(ADDRESS(ROW()-1, COLUMN())))=1,"",INDIRECT(ADDRESS(47,6))-INDIRECT(ADDRESS(47,7)))</f>
        <v>8</v>
      </c>
      <c r="L5" s="18">
        <f ca="1">IF(LEN(INDIRECT(ADDRESS(ROW()-1, COLUMN())))=1,"",INDIRECT(ADDRESS(54,7))-INDIRECT(ADDRESS(54,6)))</f>
        <v>-9</v>
      </c>
      <c r="M5" s="113"/>
      <c r="N5" s="17">
        <f ca="1">IF(COUNT(F5:L5)=0,"",SUM(F5:L5))</f>
        <v>-11</v>
      </c>
      <c r="O5" s="81"/>
    </row>
    <row r="6" spans="2:15" ht="24" customHeight="1">
      <c r="B6" s="98">
        <v>2</v>
      </c>
      <c r="C6" s="93" t="s">
        <v>51</v>
      </c>
      <c r="D6" s="94"/>
      <c r="E6" s="95"/>
      <c r="F6" s="12" t="str">
        <f ca="1">INDIRECT(ADDRESS(29,7))&amp;":"&amp;INDIRECT(ADDRESS(29,6))</f>
        <v>8:9</v>
      </c>
      <c r="G6" s="8"/>
      <c r="H6" s="7" t="str">
        <f ca="1">INDIRECT(ADDRESS(39,6))&amp;":"&amp;INDIRECT(ADDRESS(39,7))</f>
        <v>11:8</v>
      </c>
      <c r="I6" s="7" t="str">
        <f ca="1">INDIRECT(ADDRESS(42,7))&amp;":"&amp;INDIRECT(ADDRESS(42,6))</f>
        <v>13:7</v>
      </c>
      <c r="J6" s="7" t="str">
        <f ca="1">INDIRECT(ADDRESS(48,6))&amp;":"&amp;INDIRECT(ADDRESS(48,7))</f>
        <v>7:10</v>
      </c>
      <c r="K6" s="45" t="str">
        <f ca="1">INDIRECT(ADDRESS(53,7))&amp;":"&amp;INDIRECT(ADDRESS(53,6))</f>
        <v>11:5</v>
      </c>
      <c r="L6" s="11" t="str">
        <f ca="1">INDIRECT(ADDRESS(22,6))&amp;":"&amp;INDIRECT(ADDRESS(22,7))</f>
        <v>4:10</v>
      </c>
      <c r="M6" s="113">
        <f ca="1">IF(COUNT(F7:L7)=0,"",COUNTIF(F7:L7,"&gt;0")+0.5*COUNTIF(F7:L7,0))</f>
        <v>3</v>
      </c>
      <c r="N6" s="63" t="s">
        <v>57</v>
      </c>
      <c r="O6" s="84">
        <v>3</v>
      </c>
    </row>
    <row r="7" spans="2:15" ht="24" customHeight="1">
      <c r="B7" s="89"/>
      <c r="C7" s="93"/>
      <c r="D7" s="94"/>
      <c r="E7" s="95"/>
      <c r="F7" s="23">
        <f ca="1">IF(LEN(INDIRECT(ADDRESS(ROW()-1, COLUMN())))=1,"",INDIRECT(ADDRESS(29,7))-INDIRECT(ADDRESS(29,6)))</f>
        <v>-1</v>
      </c>
      <c r="G7" s="15"/>
      <c r="H7" s="17">
        <f ca="1">IF(LEN(INDIRECT(ADDRESS(ROW()-1, COLUMN())))=1,"",INDIRECT(ADDRESS(39,6))-INDIRECT(ADDRESS(39,7)))</f>
        <v>3</v>
      </c>
      <c r="I7" s="17">
        <f ca="1">IF(LEN(INDIRECT(ADDRESS(ROW()-1, COLUMN())))=1,"",INDIRECT(ADDRESS(42,7))-INDIRECT(ADDRESS(42,6)))</f>
        <v>6</v>
      </c>
      <c r="J7" s="17">
        <f ca="1">IF(LEN(INDIRECT(ADDRESS(ROW()-1, COLUMN())))=1,"",INDIRECT(ADDRESS(48,6))-INDIRECT(ADDRESS(48,7)))</f>
        <v>-3</v>
      </c>
      <c r="K7" s="44">
        <f ca="1">IF(LEN(INDIRECT(ADDRESS(ROW()-1, COLUMN())))=1,"",INDIRECT(ADDRESS(53,7))-INDIRECT(ADDRESS(53,6)))</f>
        <v>6</v>
      </c>
      <c r="L7" s="18">
        <f ca="1">IF(LEN(INDIRECT(ADDRESS(ROW()-1, COLUMN())))=1,"",INDIRECT(ADDRESS(22,6))-INDIRECT(ADDRESS(22,7)))</f>
        <v>-6</v>
      </c>
      <c r="M7" s="113"/>
      <c r="N7" s="17">
        <f ca="1">IF(COUNT(F7:L7)=0,"",SUM(F7:L7))</f>
        <v>5</v>
      </c>
      <c r="O7" s="81"/>
    </row>
    <row r="8" spans="2:15" ht="24" customHeight="1">
      <c r="B8" s="98">
        <v>3</v>
      </c>
      <c r="C8" s="93" t="s">
        <v>52</v>
      </c>
      <c r="D8" s="94"/>
      <c r="E8" s="95"/>
      <c r="F8" s="12" t="str">
        <f ca="1">INDIRECT(ADDRESS(32,6))&amp;":"&amp;INDIRECT(ADDRESS(32,7))</f>
        <v>13:4</v>
      </c>
      <c r="G8" s="7" t="str">
        <f ca="1">INDIRECT(ADDRESS(39,7))&amp;":"&amp;INDIRECT(ADDRESS(39,6))</f>
        <v>8:11</v>
      </c>
      <c r="H8" s="8"/>
      <c r="I8" s="7" t="str">
        <f ca="1">INDIRECT(ADDRESS(49,6))&amp;":"&amp;INDIRECT(ADDRESS(49,7))</f>
        <v>13:3</v>
      </c>
      <c r="J8" s="7" t="str">
        <f ca="1">INDIRECT(ADDRESS(52,7))&amp;":"&amp;INDIRECT(ADDRESS(52,6))</f>
        <v>11:13</v>
      </c>
      <c r="K8" s="45" t="str">
        <f ca="1">INDIRECT(ADDRESS(23,6))&amp;":"&amp;INDIRECT(ADDRESS(23,7))</f>
        <v>5:13</v>
      </c>
      <c r="L8" s="11" t="str">
        <f ca="1">INDIRECT(ADDRESS(28,7))&amp;":"&amp;INDIRECT(ADDRESS(28,6))</f>
        <v>13:0</v>
      </c>
      <c r="M8" s="113">
        <f ca="1">IF(COUNT(F9:L9)=0,"",COUNTIF(F9:L9,"&gt;0")+0.5*COUNTIF(F9:L9,0))</f>
        <v>3</v>
      </c>
      <c r="N8" s="63" t="s">
        <v>58</v>
      </c>
      <c r="O8" s="84">
        <v>5</v>
      </c>
    </row>
    <row r="9" spans="2:15" ht="24" customHeight="1">
      <c r="B9" s="89"/>
      <c r="C9" s="93"/>
      <c r="D9" s="94"/>
      <c r="E9" s="95"/>
      <c r="F9" s="23">
        <f ca="1">IF(LEN(INDIRECT(ADDRESS(ROW()-1, COLUMN())))=1,"",INDIRECT(ADDRESS(32,6))-INDIRECT(ADDRESS(32,7)))</f>
        <v>9</v>
      </c>
      <c r="G9" s="17">
        <f ca="1">IF(LEN(INDIRECT(ADDRESS(ROW()-1, COLUMN())))=1,"",INDIRECT(ADDRESS(39,7))-INDIRECT(ADDRESS(39,6)))</f>
        <v>-3</v>
      </c>
      <c r="H9" s="15"/>
      <c r="I9" s="17">
        <f ca="1">IF(LEN(INDIRECT(ADDRESS(ROW()-1, COLUMN())))=1,"",INDIRECT(ADDRESS(49,6))-INDIRECT(ADDRESS(49,7)))</f>
        <v>10</v>
      </c>
      <c r="J9" s="17">
        <f ca="1">IF(LEN(INDIRECT(ADDRESS(ROW()-1, COLUMN())))=1,"",INDIRECT(ADDRESS(52,7))-INDIRECT(ADDRESS(52,6)))</f>
        <v>-2</v>
      </c>
      <c r="K9" s="44">
        <f ca="1">IF(LEN(INDIRECT(ADDRESS(ROW()-1, COLUMN())))=1,"",INDIRECT(ADDRESS(23,6))-INDIRECT(ADDRESS(23,7)))</f>
        <v>-8</v>
      </c>
      <c r="L9" s="18">
        <f ca="1">IF(LEN(INDIRECT(ADDRESS(ROW()-1, COLUMN())))=1,"",INDIRECT(ADDRESS(28,7))-INDIRECT(ADDRESS(28,6)))</f>
        <v>13</v>
      </c>
      <c r="M9" s="113"/>
      <c r="N9" s="17">
        <f ca="1">IF(COUNT(F9:L9)=0,"",SUM(F9:L9))</f>
        <v>19</v>
      </c>
      <c r="O9" s="81"/>
    </row>
    <row r="10" spans="2:15" ht="24" customHeight="1">
      <c r="B10" s="98">
        <v>4</v>
      </c>
      <c r="C10" s="93" t="s">
        <v>53</v>
      </c>
      <c r="D10" s="94"/>
      <c r="E10" s="95"/>
      <c r="F10" s="12" t="str">
        <f ca="1">INDIRECT(ADDRESS(38,7))&amp;":"&amp;INDIRECT(ADDRESS(38,6))</f>
        <v>4:13</v>
      </c>
      <c r="G10" s="7" t="str">
        <f ca="1">INDIRECT(ADDRESS(42,6))&amp;":"&amp;INDIRECT(ADDRESS(42,7))</f>
        <v>7:13</v>
      </c>
      <c r="H10" s="7" t="str">
        <f ca="1">INDIRECT(ADDRESS(49,7))&amp;":"&amp;INDIRECT(ADDRESS(49,6))</f>
        <v>3:13</v>
      </c>
      <c r="I10" s="8"/>
      <c r="J10" s="7" t="str">
        <f ca="1">INDIRECT(ADDRESS(24,6))&amp;":"&amp;INDIRECT(ADDRESS(24,7))</f>
        <v>13:12</v>
      </c>
      <c r="K10" s="45" t="str">
        <f ca="1">INDIRECT(ADDRESS(27,7))&amp;":"&amp;INDIRECT(ADDRESS(27,6))</f>
        <v>5:13</v>
      </c>
      <c r="L10" s="11" t="str">
        <f ca="1">INDIRECT(ADDRESS(33,6))&amp;":"&amp;INDIRECT(ADDRESS(33,7))</f>
        <v>7:9</v>
      </c>
      <c r="M10" s="113">
        <f ca="1">IF(COUNT(F11:L11)=0,"",COUNTIF(F11:L11,"&gt;0")+0.5*COUNTIF(F11:L11,0))</f>
        <v>1</v>
      </c>
      <c r="N10" s="17"/>
      <c r="O10" s="84">
        <v>7</v>
      </c>
    </row>
    <row r="11" spans="2:15" ht="24" customHeight="1">
      <c r="B11" s="89"/>
      <c r="C11" s="93"/>
      <c r="D11" s="94"/>
      <c r="E11" s="95"/>
      <c r="F11" s="23">
        <f ca="1">IF(LEN(INDIRECT(ADDRESS(ROW()-1, COLUMN())))=1,"",INDIRECT(ADDRESS(38,7))-INDIRECT(ADDRESS(38,6)))</f>
        <v>-9</v>
      </c>
      <c r="G11" s="17">
        <f ca="1">IF(LEN(INDIRECT(ADDRESS(ROW()-1, COLUMN())))=1,"",INDIRECT(ADDRESS(42,6))-INDIRECT(ADDRESS(42,7)))</f>
        <v>-6</v>
      </c>
      <c r="H11" s="17">
        <f ca="1">IF(LEN(INDIRECT(ADDRESS(ROW()-1, COLUMN())))=1,"",INDIRECT(ADDRESS(49,7))-INDIRECT(ADDRESS(49,6)))</f>
        <v>-10</v>
      </c>
      <c r="I11" s="15"/>
      <c r="J11" s="17">
        <f ca="1">IF(LEN(INDIRECT(ADDRESS(ROW()-1, COLUMN())))=1,"",INDIRECT(ADDRESS(24,6))-INDIRECT(ADDRESS(24,7)))</f>
        <v>1</v>
      </c>
      <c r="K11" s="44">
        <f ca="1">IF(LEN(INDIRECT(ADDRESS(ROW()-1, COLUMN())))=1,"",INDIRECT(ADDRESS(27,7))-INDIRECT(ADDRESS(27,6)))</f>
        <v>-8</v>
      </c>
      <c r="L11" s="18">
        <f ca="1">IF(LEN(INDIRECT(ADDRESS(ROW()-1, COLUMN())))=1,"",INDIRECT(ADDRESS(33,6))-INDIRECT(ADDRESS(33,7)))</f>
        <v>-2</v>
      </c>
      <c r="M11" s="113"/>
      <c r="N11" s="17">
        <f ca="1">IF(COUNT(F11:L11)=0,"",SUM(F11:L11))</f>
        <v>-34</v>
      </c>
      <c r="O11" s="81"/>
    </row>
    <row r="12" spans="2:15" ht="24" customHeight="1">
      <c r="B12" s="98">
        <v>5</v>
      </c>
      <c r="C12" s="93" t="s">
        <v>54</v>
      </c>
      <c r="D12" s="94"/>
      <c r="E12" s="95"/>
      <c r="F12" s="12" t="str">
        <f ca="1">INDIRECT(ADDRESS(43,6))&amp;":"&amp;INDIRECT(ADDRESS(43,7))</f>
        <v>13:2</v>
      </c>
      <c r="G12" s="7" t="str">
        <f ca="1">INDIRECT(ADDRESS(48,7))&amp;":"&amp;INDIRECT(ADDRESS(48,6))</f>
        <v>10:7</v>
      </c>
      <c r="H12" s="7" t="str">
        <f ca="1">INDIRECT(ADDRESS(52,6))&amp;":"&amp;INDIRECT(ADDRESS(52,7))</f>
        <v>13:11</v>
      </c>
      <c r="I12" s="7" t="str">
        <f ca="1">INDIRECT(ADDRESS(24,7))&amp;":"&amp;INDIRECT(ADDRESS(24,6))</f>
        <v>12:13</v>
      </c>
      <c r="J12" s="8"/>
      <c r="K12" s="45" t="str">
        <f ca="1">INDIRECT(ADDRESS(34,6))&amp;":"&amp;INDIRECT(ADDRESS(34,7))</f>
        <v>13:2</v>
      </c>
      <c r="L12" s="11" t="str">
        <f ca="1">INDIRECT(ADDRESS(37,7))&amp;":"&amp;INDIRECT(ADDRESS(37,6))</f>
        <v>3:13</v>
      </c>
      <c r="M12" s="113">
        <f ca="1">IF(COUNT(F13:L13)=0,"",COUNTIF(F13:L13,"&gt;0")+0.5*COUNTIF(F13:L13,0))</f>
        <v>4</v>
      </c>
      <c r="N12" s="17"/>
      <c r="O12" s="84">
        <v>2</v>
      </c>
    </row>
    <row r="13" spans="2:15" ht="24" customHeight="1">
      <c r="B13" s="89"/>
      <c r="C13" s="93"/>
      <c r="D13" s="94"/>
      <c r="E13" s="95"/>
      <c r="F13" s="23">
        <f ca="1">IF(LEN(INDIRECT(ADDRESS(ROW()-1, COLUMN())))=1,"",INDIRECT(ADDRESS(43,6))-INDIRECT(ADDRESS(43,7)))</f>
        <v>11</v>
      </c>
      <c r="G13" s="17">
        <f ca="1">IF(LEN(INDIRECT(ADDRESS(ROW()-1, COLUMN())))=1,"",INDIRECT(ADDRESS(48,7))-INDIRECT(ADDRESS(48,6)))</f>
        <v>3</v>
      </c>
      <c r="H13" s="17">
        <f ca="1">IF(LEN(INDIRECT(ADDRESS(ROW()-1, COLUMN())))=1,"",INDIRECT(ADDRESS(52,6))-INDIRECT(ADDRESS(52,7)))</f>
        <v>2</v>
      </c>
      <c r="I13" s="17">
        <f ca="1">IF(LEN(INDIRECT(ADDRESS(ROW()-1, COLUMN())))=1,"",INDIRECT(ADDRESS(24,7))-INDIRECT(ADDRESS(24,6)))</f>
        <v>-1</v>
      </c>
      <c r="J13" s="15"/>
      <c r="K13" s="44">
        <f ca="1">IF(LEN(INDIRECT(ADDRESS(ROW()-1, COLUMN())))=1,"",INDIRECT(ADDRESS(34,6))-INDIRECT(ADDRESS(34,7)))</f>
        <v>11</v>
      </c>
      <c r="L13" s="18">
        <f ca="1">IF(LEN(INDIRECT(ADDRESS(ROW()-1, COLUMN())))=1,"",INDIRECT(ADDRESS(37,7))-INDIRECT(ADDRESS(37,6)))</f>
        <v>-10</v>
      </c>
      <c r="M13" s="113"/>
      <c r="N13" s="17">
        <f ca="1">IF(COUNT(F13:L13)=0,"",SUM(F13:L13))</f>
        <v>16</v>
      </c>
      <c r="O13" s="81"/>
    </row>
    <row r="14" spans="2:15" ht="24" customHeight="1">
      <c r="B14" s="98">
        <v>6</v>
      </c>
      <c r="C14" s="93" t="s">
        <v>55</v>
      </c>
      <c r="D14" s="94"/>
      <c r="E14" s="95"/>
      <c r="F14" s="12" t="str">
        <f ca="1">INDIRECT(ADDRESS(47,7))&amp;":"&amp;INDIRECT(ADDRESS(47,6))</f>
        <v>3:11</v>
      </c>
      <c r="G14" s="7" t="str">
        <f ca="1">INDIRECT(ADDRESS(53,6))&amp;":"&amp;INDIRECT(ADDRESS(53,7))</f>
        <v>5:11</v>
      </c>
      <c r="H14" s="7" t="str">
        <f ca="1">INDIRECT(ADDRESS(23,7))&amp;":"&amp;INDIRECT(ADDRESS(23,6))</f>
        <v>13:5</v>
      </c>
      <c r="I14" s="7" t="str">
        <f ca="1">INDIRECT(ADDRESS(27,6))&amp;":"&amp;INDIRECT(ADDRESS(27,7))</f>
        <v>13:5</v>
      </c>
      <c r="J14" s="7" t="str">
        <f ca="1">INDIRECT(ADDRESS(34,7))&amp;":"&amp;INDIRECT(ADDRESS(34,6))</f>
        <v>2:13</v>
      </c>
      <c r="K14" s="46"/>
      <c r="L14" s="50" t="str">
        <f ca="1">INDIRECT(ADDRESS(44,6))&amp;":"&amp;INDIRECT(ADDRESS(44,7))</f>
        <v>13:5</v>
      </c>
      <c r="M14" s="113">
        <f ca="1">IF(COUNT(F15:L15)=0,"",COUNTIF(F15:L15,"&gt;0")+0.5*COUNTIF(F15:L15,0))</f>
        <v>3</v>
      </c>
      <c r="N14" s="63" t="s">
        <v>58</v>
      </c>
      <c r="O14" s="84">
        <v>6</v>
      </c>
    </row>
    <row r="15" spans="2:15" ht="24" customHeight="1">
      <c r="B15" s="89"/>
      <c r="C15" s="93"/>
      <c r="D15" s="94"/>
      <c r="E15" s="95"/>
      <c r="F15" s="23">
        <f ca="1">IF(LEN(INDIRECT(ADDRESS(ROW()-1, COLUMN())))=1,"",INDIRECT(ADDRESS(47,7))-INDIRECT(ADDRESS(47,6)))</f>
        <v>-8</v>
      </c>
      <c r="G15" s="17">
        <f ca="1">IF(LEN(INDIRECT(ADDRESS(ROW()-1, COLUMN())))=1,"",INDIRECT(ADDRESS(53,6))-INDIRECT(ADDRESS(53,7)))</f>
        <v>-6</v>
      </c>
      <c r="H15" s="17">
        <f ca="1">IF(LEN(INDIRECT(ADDRESS(ROW()-1, COLUMN())))=1,"",INDIRECT(ADDRESS(23,7))-INDIRECT(ADDRESS(23,6)))</f>
        <v>8</v>
      </c>
      <c r="I15" s="17">
        <f ca="1">IF(LEN(INDIRECT(ADDRESS(ROW()-1, COLUMN())))=1,"",INDIRECT(ADDRESS(27,6))-INDIRECT(ADDRESS(27,7)))</f>
        <v>8</v>
      </c>
      <c r="J15" s="17">
        <f ca="1">IF(LEN(INDIRECT(ADDRESS(ROW()-1, COLUMN())))=1,"",INDIRECT(ADDRESS(34,7))-INDIRECT(ADDRESS(34,6)))</f>
        <v>-11</v>
      </c>
      <c r="K15" s="47"/>
      <c r="L15" s="51">
        <f ca="1">IF(LEN(INDIRECT(ADDRESS(ROW()-1, COLUMN())))=1,"",INDIRECT(ADDRESS(44,6))-INDIRECT(ADDRESS(44,7)))</f>
        <v>8</v>
      </c>
      <c r="M15" s="113"/>
      <c r="N15" s="17">
        <f ca="1">IF(COUNT(F15:L15)=0,"",SUM(F15:L15))</f>
        <v>-1</v>
      </c>
      <c r="O15" s="81"/>
    </row>
    <row r="16" spans="2:15" ht="24" customHeight="1">
      <c r="B16" s="119">
        <v>7</v>
      </c>
      <c r="C16" s="120" t="s">
        <v>56</v>
      </c>
      <c r="D16" s="121"/>
      <c r="E16" s="122"/>
      <c r="F16" s="39" t="str">
        <f ca="1">INDIRECT(ADDRESS(54,6))&amp;":"&amp;INDIRECT(ADDRESS(54,7))</f>
        <v>13:4</v>
      </c>
      <c r="G16" s="40" t="str">
        <f ca="1">INDIRECT(ADDRESS(22,7))&amp;":"&amp;INDIRECT(ADDRESS(22,6))</f>
        <v>10:4</v>
      </c>
      <c r="H16" s="40" t="str">
        <f ca="1">INDIRECT(ADDRESS(28,6))&amp;":"&amp;INDIRECT(ADDRESS(28,7))</f>
        <v>0:13</v>
      </c>
      <c r="I16" s="40" t="str">
        <f ca="1">INDIRECT(ADDRESS(33,7))&amp;":"&amp;INDIRECT(ADDRESS(33,6))</f>
        <v>9:7</v>
      </c>
      <c r="J16" s="40" t="str">
        <f ca="1">INDIRECT(ADDRESS(37,6))&amp;":"&amp;INDIRECT(ADDRESS(37,7))</f>
        <v>13:3</v>
      </c>
      <c r="K16" s="48" t="str">
        <f ca="1">INDIRECT(ADDRESS(44,7))&amp;":"&amp;INDIRECT(ADDRESS(44,6))</f>
        <v>5:13</v>
      </c>
      <c r="L16" s="41"/>
      <c r="M16" s="113">
        <f ca="1">IF(COUNT(F17:L17)=0,"",COUNTIF(F17:L17,"&gt;0")+0.5*COUNTIF(F17:L17,0))</f>
        <v>4</v>
      </c>
      <c r="N16" s="42"/>
      <c r="O16" s="123">
        <v>1</v>
      </c>
    </row>
    <row r="17" spans="2:15" ht="24" customHeight="1" thickBot="1">
      <c r="B17" s="103"/>
      <c r="C17" s="104"/>
      <c r="D17" s="105"/>
      <c r="E17" s="106"/>
      <c r="F17" s="20">
        <f ca="1">IF(LEN(INDIRECT(ADDRESS(ROW()-1, COLUMN())))=1,"",INDIRECT(ADDRESS(54,6))-INDIRECT(ADDRESS(54,7)))</f>
        <v>9</v>
      </c>
      <c r="G17" s="19">
        <f ca="1">IF(LEN(INDIRECT(ADDRESS(ROW()-1, COLUMN())))=1,"",INDIRECT(ADDRESS(22,7))-INDIRECT(ADDRESS(22,6)))</f>
        <v>6</v>
      </c>
      <c r="H17" s="19">
        <f ca="1">IF(LEN(INDIRECT(ADDRESS(ROW()-1, COLUMN())))=1,"",INDIRECT(ADDRESS(28,6))-INDIRECT(ADDRESS(28,7)))</f>
        <v>-13</v>
      </c>
      <c r="I17" s="19">
        <f ca="1">IF(LEN(INDIRECT(ADDRESS(ROW()-1, COLUMN())))=1,"",INDIRECT(ADDRESS(33,7))-INDIRECT(ADDRESS(33,6)))</f>
        <v>2</v>
      </c>
      <c r="J17" s="19">
        <f ca="1">IF(LEN(INDIRECT(ADDRESS(ROW()-1, COLUMN())))=1,"",INDIRECT(ADDRESS(37,6))-INDIRECT(ADDRESS(37,7)))</f>
        <v>10</v>
      </c>
      <c r="K17" s="49">
        <f ca="1">IF(LEN(INDIRECT(ADDRESS(ROW()-1, COLUMN())))=1,"",INDIRECT(ADDRESS(44,7))-INDIRECT(ADDRESS(44,6)))</f>
        <v>-8</v>
      </c>
      <c r="L17" s="16"/>
      <c r="M17" s="118"/>
      <c r="N17" s="19">
        <f ca="1">IF(COUNT(F17:L17)=0,"",SUM(F17:L17))</f>
        <v>6</v>
      </c>
      <c r="O17" s="108"/>
    </row>
    <row r="18" spans="2:15">
      <c r="M18"/>
    </row>
    <row r="19" spans="2:15">
      <c r="M19"/>
    </row>
    <row r="20" spans="2:15">
      <c r="M20"/>
    </row>
    <row r="21" spans="2:15" ht="30" customHeight="1" thickBot="1">
      <c r="B21" s="99" t="s">
        <v>4</v>
      </c>
      <c r="C21" s="99"/>
      <c r="D21" s="99"/>
      <c r="E21" s="99"/>
      <c r="F21" s="99"/>
      <c r="G21" s="99"/>
      <c r="H21" s="99"/>
      <c r="I21" s="99"/>
      <c r="J21" s="99"/>
      <c r="K21" s="99"/>
      <c r="M21"/>
    </row>
    <row r="22" spans="2:15" ht="30" customHeight="1" thickBot="1">
      <c r="B22" s="5">
        <v>2</v>
      </c>
      <c r="C22" s="115" t="str">
        <f ca="1">IF(ISBLANK(INDIRECT(ADDRESS(B22*2+2,3))),"",INDIRECT(ADDRESS(B22*2+2,3)))</f>
        <v>Коновалов, Ким</v>
      </c>
      <c r="D22" s="115"/>
      <c r="E22" s="116"/>
      <c r="F22" s="26">
        <v>4</v>
      </c>
      <c r="G22" s="27">
        <v>10</v>
      </c>
      <c r="H22" s="117" t="str">
        <f ca="1">IF(ISBLANK(INDIRECT(ADDRESS(K22*2+2,3))),"",INDIRECT(ADDRESS(K22*2+2,3)))</f>
        <v>Савельев, Колногорова</v>
      </c>
      <c r="I22" s="115"/>
      <c r="J22" s="115"/>
      <c r="K22" s="5">
        <v>7</v>
      </c>
      <c r="L22" s="36" t="s">
        <v>19</v>
      </c>
      <c r="M22" s="29"/>
    </row>
    <row r="23" spans="2:15" ht="30" customHeight="1" thickBot="1">
      <c r="B23" s="5">
        <v>3</v>
      </c>
      <c r="C23" s="115" t="str">
        <f ca="1">IF(ISBLANK(INDIRECT(ADDRESS(B23*2+2,3))),"",INDIRECT(ADDRESS(B23*2+2,3)))</f>
        <v>Гришин, Тотоева</v>
      </c>
      <c r="D23" s="115"/>
      <c r="E23" s="116"/>
      <c r="F23" s="26">
        <v>5</v>
      </c>
      <c r="G23" s="27">
        <v>13</v>
      </c>
      <c r="H23" s="117" t="str">
        <f ca="1">IF(ISBLANK(INDIRECT(ADDRESS(K23*2+2,3))),"",INDIRECT(ADDRESS(K23*2+2,3)))</f>
        <v>Калякин А., Кукушкина</v>
      </c>
      <c r="I23" s="115"/>
      <c r="J23" s="115"/>
      <c r="K23" s="5">
        <v>6</v>
      </c>
      <c r="L23" s="36" t="s">
        <v>20</v>
      </c>
      <c r="M23" s="29"/>
    </row>
    <row r="24" spans="2:15" ht="30" customHeight="1" thickBot="1">
      <c r="B24" s="5">
        <v>4</v>
      </c>
      <c r="C24" s="115" t="str">
        <f ca="1">IF(ISBLANK(INDIRECT(ADDRESS(B24*2+2,3))),"",INDIRECT(ADDRESS(B24*2+2,3)))</f>
        <v>Гутников, Гермер</v>
      </c>
      <c r="D24" s="115"/>
      <c r="E24" s="116"/>
      <c r="F24" s="26">
        <v>13</v>
      </c>
      <c r="G24" s="27">
        <v>12</v>
      </c>
      <c r="H24" s="117" t="str">
        <f ca="1">IF(ISBLANK(INDIRECT(ADDRESS(K24*2+2,3))),"",INDIRECT(ADDRESS(K24*2+2,3)))</f>
        <v>Татьянц, Мыльцева</v>
      </c>
      <c r="I24" s="115"/>
      <c r="J24" s="115"/>
      <c r="K24" s="5">
        <v>5</v>
      </c>
      <c r="L24" s="36" t="s">
        <v>21</v>
      </c>
      <c r="M24" s="29"/>
    </row>
    <row r="25" spans="2:15" ht="30" customHeight="1"/>
    <row r="26" spans="2:15" ht="30" customHeight="1" thickBot="1">
      <c r="B26" s="99" t="s">
        <v>5</v>
      </c>
      <c r="C26" s="99"/>
      <c r="D26" s="99"/>
      <c r="E26" s="99"/>
      <c r="F26" s="99"/>
      <c r="G26" s="99"/>
      <c r="H26" s="99"/>
      <c r="I26" s="99"/>
      <c r="J26" s="99"/>
      <c r="K26" s="99"/>
    </row>
    <row r="27" spans="2:15" ht="30" customHeight="1" thickBot="1">
      <c r="B27" s="5">
        <v>6</v>
      </c>
      <c r="C27" s="115" t="str">
        <f ca="1">IF(ISBLANK(INDIRECT(ADDRESS(B27*2+2,3))),"",INDIRECT(ADDRESS(B27*2+2,3)))</f>
        <v>Калякин А., Кукушкина</v>
      </c>
      <c r="D27" s="115"/>
      <c r="E27" s="116"/>
      <c r="F27" s="26">
        <v>13</v>
      </c>
      <c r="G27" s="27">
        <v>5</v>
      </c>
      <c r="H27" s="117" t="str">
        <f ca="1">IF(ISBLANK(INDIRECT(ADDRESS(K27*2+2,3))),"",INDIRECT(ADDRESS(K27*2+2,3)))</f>
        <v>Гутников, Гермер</v>
      </c>
      <c r="I27" s="115"/>
      <c r="J27" s="115"/>
      <c r="K27" s="5">
        <v>4</v>
      </c>
      <c r="L27" s="36" t="s">
        <v>22</v>
      </c>
      <c r="M27" s="29"/>
    </row>
    <row r="28" spans="2:15" ht="30" customHeight="1" thickBot="1">
      <c r="B28" s="5">
        <v>7</v>
      </c>
      <c r="C28" s="115" t="str">
        <f ca="1">IF(ISBLANK(INDIRECT(ADDRESS(B28*2+2,3))),"",INDIRECT(ADDRESS(B28*2+2,3)))</f>
        <v>Савельев, Колногорова</v>
      </c>
      <c r="D28" s="115"/>
      <c r="E28" s="116"/>
      <c r="F28" s="26">
        <v>0</v>
      </c>
      <c r="G28" s="27">
        <v>13</v>
      </c>
      <c r="H28" s="117" t="str">
        <f ca="1">IF(ISBLANK(INDIRECT(ADDRESS(K28*2+2,3))),"",INDIRECT(ADDRESS(K28*2+2,3)))</f>
        <v>Гришин, Тотоева</v>
      </c>
      <c r="I28" s="115"/>
      <c r="J28" s="115"/>
      <c r="K28" s="5">
        <v>3</v>
      </c>
      <c r="L28" s="36" t="s">
        <v>23</v>
      </c>
      <c r="M28" s="29"/>
    </row>
    <row r="29" spans="2:15" ht="30" customHeight="1" thickBot="1">
      <c r="B29" s="5">
        <v>1</v>
      </c>
      <c r="C29" s="115" t="str">
        <f ca="1">IF(ISBLANK(INDIRECT(ADDRESS(B29*2+2,3))),"",INDIRECT(ADDRESS(B29*2+2,3)))</f>
        <v>Бацманов, Богданова</v>
      </c>
      <c r="D29" s="115"/>
      <c r="E29" s="116"/>
      <c r="F29" s="26">
        <v>9</v>
      </c>
      <c r="G29" s="27">
        <v>8</v>
      </c>
      <c r="H29" s="117" t="str">
        <f ca="1">IF(ISBLANK(INDIRECT(ADDRESS(K29*2+2,3))),"",INDIRECT(ADDRESS(K29*2+2,3)))</f>
        <v>Коновалов, Ким</v>
      </c>
      <c r="I29" s="115"/>
      <c r="J29" s="115"/>
      <c r="K29" s="5">
        <v>2</v>
      </c>
      <c r="L29" s="36" t="s">
        <v>24</v>
      </c>
      <c r="M29" s="29"/>
    </row>
    <row r="30" spans="2:15" ht="30" customHeight="1"/>
    <row r="31" spans="2:15" ht="30" customHeight="1" thickBot="1">
      <c r="B31" s="99" t="s">
        <v>6</v>
      </c>
      <c r="C31" s="99"/>
      <c r="D31" s="99"/>
      <c r="E31" s="99"/>
      <c r="F31" s="99"/>
      <c r="G31" s="99"/>
      <c r="H31" s="99"/>
      <c r="I31" s="99"/>
      <c r="J31" s="99"/>
      <c r="K31" s="99"/>
    </row>
    <row r="32" spans="2:15" ht="30" customHeight="1" thickBot="1">
      <c r="B32" s="5">
        <v>3</v>
      </c>
      <c r="C32" s="115" t="str">
        <f ca="1">IF(ISBLANK(INDIRECT(ADDRESS(B32*2+2,3))),"",INDIRECT(ADDRESS(B32*2+2,3)))</f>
        <v>Гришин, Тотоева</v>
      </c>
      <c r="D32" s="115"/>
      <c r="E32" s="116"/>
      <c r="F32" s="26">
        <v>13</v>
      </c>
      <c r="G32" s="27">
        <v>4</v>
      </c>
      <c r="H32" s="117" t="str">
        <f ca="1">IF(ISBLANK(INDIRECT(ADDRESS(K32*2+2,3))),"",INDIRECT(ADDRESS(K32*2+2,3)))</f>
        <v>Бацманов, Богданова</v>
      </c>
      <c r="I32" s="115"/>
      <c r="J32" s="115"/>
      <c r="K32" s="5">
        <v>1</v>
      </c>
      <c r="L32" s="36" t="s">
        <v>19</v>
      </c>
      <c r="M32" s="29"/>
    </row>
    <row r="33" spans="2:13" ht="30" customHeight="1" thickBot="1">
      <c r="B33" s="5">
        <v>4</v>
      </c>
      <c r="C33" s="115" t="str">
        <f ca="1">IF(ISBLANK(INDIRECT(ADDRESS(B33*2+2,3))),"",INDIRECT(ADDRESS(B33*2+2,3)))</f>
        <v>Гутников, Гермер</v>
      </c>
      <c r="D33" s="115"/>
      <c r="E33" s="116"/>
      <c r="F33" s="26">
        <v>7</v>
      </c>
      <c r="G33" s="27">
        <v>9</v>
      </c>
      <c r="H33" s="117" t="str">
        <f ca="1">IF(ISBLANK(INDIRECT(ADDRESS(K33*2+2,3))),"",INDIRECT(ADDRESS(K33*2+2,3)))</f>
        <v>Савельев, Колногорова</v>
      </c>
      <c r="I33" s="115"/>
      <c r="J33" s="115"/>
      <c r="K33" s="5">
        <v>7</v>
      </c>
      <c r="L33" s="36" t="s">
        <v>20</v>
      </c>
      <c r="M33" s="29"/>
    </row>
    <row r="34" spans="2:13" ht="30" customHeight="1" thickBot="1">
      <c r="B34" s="5">
        <v>5</v>
      </c>
      <c r="C34" s="115" t="str">
        <f ca="1">IF(ISBLANK(INDIRECT(ADDRESS(B34*2+2,3))),"",INDIRECT(ADDRESS(B34*2+2,3)))</f>
        <v>Татьянц, Мыльцева</v>
      </c>
      <c r="D34" s="115"/>
      <c r="E34" s="116"/>
      <c r="F34" s="26">
        <v>13</v>
      </c>
      <c r="G34" s="27">
        <v>2</v>
      </c>
      <c r="H34" s="117" t="str">
        <f ca="1">IF(ISBLANK(INDIRECT(ADDRESS(K34*2+2,3))),"",INDIRECT(ADDRESS(K34*2+2,3)))</f>
        <v>Калякин А., Кукушкина</v>
      </c>
      <c r="I34" s="115"/>
      <c r="J34" s="115"/>
      <c r="K34" s="5">
        <v>6</v>
      </c>
      <c r="L34" s="36" t="s">
        <v>21</v>
      </c>
      <c r="M34" s="29"/>
    </row>
    <row r="35" spans="2:13" ht="30" customHeight="1"/>
    <row r="36" spans="2:13" ht="30" customHeight="1" thickBot="1">
      <c r="B36" s="99" t="s">
        <v>8</v>
      </c>
      <c r="C36" s="99"/>
      <c r="D36" s="99"/>
      <c r="E36" s="99"/>
      <c r="F36" s="99"/>
      <c r="G36" s="99"/>
      <c r="H36" s="99"/>
      <c r="I36" s="99"/>
      <c r="J36" s="99"/>
      <c r="K36" s="99"/>
    </row>
    <row r="37" spans="2:13" ht="30" customHeight="1" thickBot="1">
      <c r="B37" s="5">
        <v>7</v>
      </c>
      <c r="C37" s="115" t="str">
        <f ca="1">IF(ISBLANK(INDIRECT(ADDRESS(B37*2+2,3))),"",INDIRECT(ADDRESS(B37*2+2,3)))</f>
        <v>Савельев, Колногорова</v>
      </c>
      <c r="D37" s="115"/>
      <c r="E37" s="116"/>
      <c r="F37" s="26">
        <v>13</v>
      </c>
      <c r="G37" s="27">
        <v>3</v>
      </c>
      <c r="H37" s="117" t="str">
        <f ca="1">IF(ISBLANK(INDIRECT(ADDRESS(K37*2+2,3))),"",INDIRECT(ADDRESS(K37*2+2,3)))</f>
        <v>Татьянц, Мыльцева</v>
      </c>
      <c r="I37" s="115"/>
      <c r="J37" s="115"/>
      <c r="K37" s="5">
        <v>5</v>
      </c>
      <c r="L37" s="36" t="s">
        <v>22</v>
      </c>
      <c r="M37" s="29"/>
    </row>
    <row r="38" spans="2:13" ht="30" customHeight="1" thickBot="1">
      <c r="B38" s="5">
        <v>1</v>
      </c>
      <c r="C38" s="115" t="str">
        <f ca="1">IF(ISBLANK(INDIRECT(ADDRESS(B38*2+2,3))),"",INDIRECT(ADDRESS(B38*2+2,3)))</f>
        <v>Бацманов, Богданова</v>
      </c>
      <c r="D38" s="115"/>
      <c r="E38" s="116"/>
      <c r="F38" s="26">
        <v>13</v>
      </c>
      <c r="G38" s="27">
        <v>4</v>
      </c>
      <c r="H38" s="117" t="str">
        <f ca="1">IF(ISBLANK(INDIRECT(ADDRESS(K38*2+2,3))),"",INDIRECT(ADDRESS(K38*2+2,3)))</f>
        <v>Гутников, Гермер</v>
      </c>
      <c r="I38" s="115"/>
      <c r="J38" s="115"/>
      <c r="K38" s="5">
        <v>4</v>
      </c>
      <c r="L38" s="36" t="s">
        <v>23</v>
      </c>
      <c r="M38" s="29"/>
    </row>
    <row r="39" spans="2:13" ht="30" customHeight="1" thickBot="1">
      <c r="B39" s="5">
        <v>2</v>
      </c>
      <c r="C39" s="115" t="str">
        <f ca="1">IF(ISBLANK(INDIRECT(ADDRESS(B39*2+2,3))),"",INDIRECT(ADDRESS(B39*2+2,3)))</f>
        <v>Коновалов, Ким</v>
      </c>
      <c r="D39" s="115"/>
      <c r="E39" s="116"/>
      <c r="F39" s="26">
        <v>11</v>
      </c>
      <c r="G39" s="27">
        <v>8</v>
      </c>
      <c r="H39" s="117" t="str">
        <f ca="1">IF(ISBLANK(INDIRECT(ADDRESS(K39*2+2,3))),"",INDIRECT(ADDRESS(K39*2+2,3)))</f>
        <v>Гришин, Тотоева</v>
      </c>
      <c r="I39" s="115"/>
      <c r="J39" s="115"/>
      <c r="K39" s="5">
        <v>3</v>
      </c>
      <c r="L39" s="36" t="s">
        <v>24</v>
      </c>
      <c r="M39" s="29"/>
    </row>
    <row r="40" spans="2:13" ht="30" customHeight="1"/>
    <row r="41" spans="2:13" ht="30" customHeight="1" thickBot="1">
      <c r="B41" s="99" t="s">
        <v>9</v>
      </c>
      <c r="C41" s="99"/>
      <c r="D41" s="99"/>
      <c r="E41" s="99"/>
      <c r="F41" s="99"/>
      <c r="G41" s="99"/>
      <c r="H41" s="99"/>
      <c r="I41" s="99"/>
      <c r="J41" s="99"/>
      <c r="K41" s="99"/>
    </row>
    <row r="42" spans="2:13" ht="30" customHeight="1" thickBot="1">
      <c r="B42" s="5">
        <v>4</v>
      </c>
      <c r="C42" s="115" t="str">
        <f ca="1">IF(ISBLANK(INDIRECT(ADDRESS(B42*2+2,3))),"",INDIRECT(ADDRESS(B42*2+2,3)))</f>
        <v>Гутников, Гермер</v>
      </c>
      <c r="D42" s="115"/>
      <c r="E42" s="116"/>
      <c r="F42" s="26">
        <v>7</v>
      </c>
      <c r="G42" s="27">
        <v>13</v>
      </c>
      <c r="H42" s="117" t="str">
        <f ca="1">IF(ISBLANK(INDIRECT(ADDRESS(K42*2+2,3))),"",INDIRECT(ADDRESS(K42*2+2,3)))</f>
        <v>Коновалов, Ким</v>
      </c>
      <c r="I42" s="115"/>
      <c r="J42" s="115"/>
      <c r="K42" s="5">
        <v>2</v>
      </c>
      <c r="L42" s="36" t="s">
        <v>19</v>
      </c>
      <c r="M42" s="29"/>
    </row>
    <row r="43" spans="2:13" ht="30" customHeight="1" thickBot="1">
      <c r="B43" s="5">
        <v>5</v>
      </c>
      <c r="C43" s="115" t="str">
        <f ca="1">IF(ISBLANK(INDIRECT(ADDRESS(B43*2+2,3))),"",INDIRECT(ADDRESS(B43*2+2,3)))</f>
        <v>Татьянц, Мыльцева</v>
      </c>
      <c r="D43" s="115"/>
      <c r="E43" s="116"/>
      <c r="F43" s="26">
        <v>13</v>
      </c>
      <c r="G43" s="27">
        <v>2</v>
      </c>
      <c r="H43" s="117" t="str">
        <f ca="1">IF(ISBLANK(INDIRECT(ADDRESS(K43*2+2,3))),"",INDIRECT(ADDRESS(K43*2+2,3)))</f>
        <v>Бацманов, Богданова</v>
      </c>
      <c r="I43" s="115"/>
      <c r="J43" s="115"/>
      <c r="K43" s="5">
        <v>1</v>
      </c>
      <c r="L43" s="36" t="s">
        <v>20</v>
      </c>
      <c r="M43" s="29"/>
    </row>
    <row r="44" spans="2:13" ht="30" customHeight="1" thickBot="1">
      <c r="B44" s="5">
        <v>6</v>
      </c>
      <c r="C44" s="115" t="str">
        <f ca="1">IF(ISBLANK(INDIRECT(ADDRESS(B44*2+2,3))),"",INDIRECT(ADDRESS(B44*2+2,3)))</f>
        <v>Калякин А., Кукушкина</v>
      </c>
      <c r="D44" s="115"/>
      <c r="E44" s="116"/>
      <c r="F44" s="26">
        <v>13</v>
      </c>
      <c r="G44" s="27">
        <v>5</v>
      </c>
      <c r="H44" s="117" t="str">
        <f ca="1">IF(ISBLANK(INDIRECT(ADDRESS(K44*2+2,3))),"",INDIRECT(ADDRESS(K44*2+2,3)))</f>
        <v>Савельев, Колногорова</v>
      </c>
      <c r="I44" s="115"/>
      <c r="J44" s="115"/>
      <c r="K44" s="5">
        <v>7</v>
      </c>
      <c r="L44" s="36" t="s">
        <v>21</v>
      </c>
      <c r="M44" s="29"/>
    </row>
    <row r="45" spans="2:13" ht="30" customHeight="1"/>
    <row r="46" spans="2:13" ht="30" customHeight="1" thickBot="1">
      <c r="B46" s="99" t="s">
        <v>11</v>
      </c>
      <c r="C46" s="99"/>
      <c r="D46" s="99"/>
      <c r="E46" s="99"/>
      <c r="F46" s="99"/>
      <c r="G46" s="99"/>
      <c r="H46" s="99"/>
      <c r="I46" s="99"/>
      <c r="J46" s="99"/>
      <c r="K46" s="99"/>
    </row>
    <row r="47" spans="2:13" ht="30" customHeight="1" thickBot="1">
      <c r="B47" s="5">
        <v>1</v>
      </c>
      <c r="C47" s="115" t="str">
        <f ca="1">IF(ISBLANK(INDIRECT(ADDRESS(B47*2+2,3))),"",INDIRECT(ADDRESS(B47*2+2,3)))</f>
        <v>Бацманов, Богданова</v>
      </c>
      <c r="D47" s="115"/>
      <c r="E47" s="116"/>
      <c r="F47" s="26">
        <v>11</v>
      </c>
      <c r="G47" s="27">
        <v>3</v>
      </c>
      <c r="H47" s="117" t="str">
        <f ca="1">IF(ISBLANK(INDIRECT(ADDRESS(K47*2+2,3))),"",INDIRECT(ADDRESS(K47*2+2,3)))</f>
        <v>Калякин А., Кукушкина</v>
      </c>
      <c r="I47" s="115"/>
      <c r="J47" s="115"/>
      <c r="K47" s="5">
        <v>6</v>
      </c>
      <c r="L47" s="36" t="s">
        <v>22</v>
      </c>
      <c r="M47" s="29"/>
    </row>
    <row r="48" spans="2:13" ht="30" customHeight="1" thickBot="1">
      <c r="B48" s="5">
        <v>2</v>
      </c>
      <c r="C48" s="115" t="str">
        <f ca="1">IF(ISBLANK(INDIRECT(ADDRESS(B48*2+2,3))),"",INDIRECT(ADDRESS(B48*2+2,3)))</f>
        <v>Коновалов, Ким</v>
      </c>
      <c r="D48" s="115"/>
      <c r="E48" s="116"/>
      <c r="F48" s="26">
        <v>7</v>
      </c>
      <c r="G48" s="27">
        <v>10</v>
      </c>
      <c r="H48" s="117" t="str">
        <f ca="1">IF(ISBLANK(INDIRECT(ADDRESS(K48*2+2,3))),"",INDIRECT(ADDRESS(K48*2+2,3)))</f>
        <v>Татьянц, Мыльцева</v>
      </c>
      <c r="I48" s="115"/>
      <c r="J48" s="115"/>
      <c r="K48" s="5">
        <v>5</v>
      </c>
      <c r="L48" s="36" t="s">
        <v>23</v>
      </c>
      <c r="M48" s="29"/>
    </row>
    <row r="49" spans="2:13" ht="30" customHeight="1" thickBot="1">
      <c r="B49" s="5">
        <v>3</v>
      </c>
      <c r="C49" s="115" t="str">
        <f ca="1">IF(ISBLANK(INDIRECT(ADDRESS(B49*2+2,3))),"",INDIRECT(ADDRESS(B49*2+2,3)))</f>
        <v>Гришин, Тотоева</v>
      </c>
      <c r="D49" s="115"/>
      <c r="E49" s="116"/>
      <c r="F49" s="26">
        <v>13</v>
      </c>
      <c r="G49" s="27">
        <v>3</v>
      </c>
      <c r="H49" s="117" t="str">
        <f ca="1">IF(ISBLANK(INDIRECT(ADDRESS(K49*2+2,3))),"",INDIRECT(ADDRESS(K49*2+2,3)))</f>
        <v>Гутников, Гермер</v>
      </c>
      <c r="I49" s="115"/>
      <c r="J49" s="115"/>
      <c r="K49" s="5">
        <v>4</v>
      </c>
      <c r="L49" s="36" t="s">
        <v>24</v>
      </c>
      <c r="M49" s="29"/>
    </row>
    <row r="50" spans="2:13" ht="30" customHeight="1"/>
    <row r="51" spans="2:13" ht="30" customHeight="1" thickBot="1">
      <c r="B51" s="99" t="s">
        <v>12</v>
      </c>
      <c r="C51" s="99"/>
      <c r="D51" s="99"/>
      <c r="E51" s="99"/>
      <c r="F51" s="99"/>
      <c r="G51" s="99"/>
      <c r="H51" s="99"/>
      <c r="I51" s="99"/>
      <c r="J51" s="99"/>
      <c r="K51" s="99"/>
    </row>
    <row r="52" spans="2:13" ht="30" customHeight="1" thickBot="1">
      <c r="B52" s="5">
        <v>5</v>
      </c>
      <c r="C52" s="115" t="str">
        <f ca="1">IF(ISBLANK(INDIRECT(ADDRESS(B52*2+2,3))),"",INDIRECT(ADDRESS(B52*2+2,3)))</f>
        <v>Татьянц, Мыльцева</v>
      </c>
      <c r="D52" s="115"/>
      <c r="E52" s="116"/>
      <c r="F52" s="26">
        <v>13</v>
      </c>
      <c r="G52" s="27">
        <v>11</v>
      </c>
      <c r="H52" s="117" t="str">
        <f ca="1">IF(ISBLANK(INDIRECT(ADDRESS(K52*2+2,3))),"",INDIRECT(ADDRESS(K52*2+2,3)))</f>
        <v>Гришин, Тотоева</v>
      </c>
      <c r="I52" s="115"/>
      <c r="J52" s="115"/>
      <c r="K52" s="5">
        <v>3</v>
      </c>
      <c r="L52" s="36" t="s">
        <v>19</v>
      </c>
      <c r="M52" s="29"/>
    </row>
    <row r="53" spans="2:13" ht="30" customHeight="1" thickBot="1">
      <c r="B53" s="5">
        <v>6</v>
      </c>
      <c r="C53" s="115" t="str">
        <f ca="1">IF(ISBLANK(INDIRECT(ADDRESS(B53*2+2,3))),"",INDIRECT(ADDRESS(B53*2+2,3)))</f>
        <v>Калякин А., Кукушкина</v>
      </c>
      <c r="D53" s="115"/>
      <c r="E53" s="116"/>
      <c r="F53" s="26">
        <v>5</v>
      </c>
      <c r="G53" s="27">
        <v>11</v>
      </c>
      <c r="H53" s="117" t="str">
        <f ca="1">IF(ISBLANK(INDIRECT(ADDRESS(K53*2+2,3))),"",INDIRECT(ADDRESS(K53*2+2,3)))</f>
        <v>Коновалов, Ким</v>
      </c>
      <c r="I53" s="115"/>
      <c r="J53" s="115"/>
      <c r="K53" s="5">
        <v>2</v>
      </c>
      <c r="L53" s="36" t="s">
        <v>20</v>
      </c>
      <c r="M53" s="29"/>
    </row>
    <row r="54" spans="2:13" ht="30" customHeight="1" thickBot="1">
      <c r="B54" s="5">
        <v>7</v>
      </c>
      <c r="C54" s="115" t="str">
        <f ca="1">IF(ISBLANK(INDIRECT(ADDRESS(B54*2+2,3))),"",INDIRECT(ADDRESS(B54*2+2,3)))</f>
        <v>Савельев, Колногорова</v>
      </c>
      <c r="D54" s="115"/>
      <c r="E54" s="116"/>
      <c r="F54" s="26">
        <v>13</v>
      </c>
      <c r="G54" s="27">
        <v>4</v>
      </c>
      <c r="H54" s="117" t="str">
        <f ca="1">IF(ISBLANK(INDIRECT(ADDRESS(K54*2+2,3))),"",INDIRECT(ADDRESS(K54*2+2,3)))</f>
        <v>Бацманов, Богданова</v>
      </c>
      <c r="I54" s="115"/>
      <c r="J54" s="115"/>
      <c r="K54" s="5">
        <v>1</v>
      </c>
      <c r="L54" s="36" t="s">
        <v>21</v>
      </c>
      <c r="M54" s="29"/>
    </row>
    <row r="58" spans="2:13" ht="21">
      <c r="C58" s="61" t="s">
        <v>122</v>
      </c>
      <c r="D58" s="61"/>
      <c r="E58" s="61"/>
      <c r="F58" s="61"/>
    </row>
    <row r="59" spans="2:13" ht="21">
      <c r="C59" s="61"/>
      <c r="D59" s="61"/>
      <c r="E59" s="61"/>
      <c r="F59" s="61"/>
    </row>
    <row r="60" spans="2:13" ht="21">
      <c r="C60" s="61"/>
      <c r="D60" s="61"/>
      <c r="E60" s="61"/>
      <c r="F60" s="61"/>
    </row>
    <row r="61" spans="2:13" ht="21">
      <c r="C61" s="61" t="s">
        <v>29</v>
      </c>
      <c r="D61" s="61"/>
      <c r="E61" s="61"/>
      <c r="F61" s="61"/>
    </row>
  </sheetData>
  <sheetCalcPr fullCalcOnLoad="1"/>
  <mergeCells count="80">
    <mergeCell ref="C53:E53"/>
    <mergeCell ref="B41:K41"/>
    <mergeCell ref="C42:E42"/>
    <mergeCell ref="H42:J42"/>
    <mergeCell ref="C43:E43"/>
    <mergeCell ref="H43:J43"/>
    <mergeCell ref="C54:E54"/>
    <mergeCell ref="H54:J54"/>
    <mergeCell ref="C48:E48"/>
    <mergeCell ref="H48:J48"/>
    <mergeCell ref="C49:E49"/>
    <mergeCell ref="C44:E44"/>
    <mergeCell ref="H53:J53"/>
    <mergeCell ref="B46:K46"/>
    <mergeCell ref="C47:E47"/>
    <mergeCell ref="H47:J47"/>
    <mergeCell ref="H44:J44"/>
    <mergeCell ref="H49:J49"/>
    <mergeCell ref="B51:K51"/>
    <mergeCell ref="C52:E52"/>
    <mergeCell ref="H52:J52"/>
    <mergeCell ref="C33:E33"/>
    <mergeCell ref="H33:J33"/>
    <mergeCell ref="B36:K36"/>
    <mergeCell ref="C37:E37"/>
    <mergeCell ref="H37:J37"/>
    <mergeCell ref="C34:E34"/>
    <mergeCell ref="H34:J34"/>
    <mergeCell ref="C39:E39"/>
    <mergeCell ref="H39:J39"/>
    <mergeCell ref="H29:J29"/>
    <mergeCell ref="O16:O17"/>
    <mergeCell ref="C28:E28"/>
    <mergeCell ref="C38:E38"/>
    <mergeCell ref="H38:J38"/>
    <mergeCell ref="C23:E23"/>
    <mergeCell ref="H23:J23"/>
    <mergeCell ref="B31:K31"/>
    <mergeCell ref="C32:E32"/>
    <mergeCell ref="H32:J32"/>
    <mergeCell ref="C24:E24"/>
    <mergeCell ref="H24:J24"/>
    <mergeCell ref="B26:K26"/>
    <mergeCell ref="H27:J27"/>
    <mergeCell ref="H28:J28"/>
    <mergeCell ref="C29:E29"/>
    <mergeCell ref="C27:E27"/>
    <mergeCell ref="C22:E22"/>
    <mergeCell ref="H22:J22"/>
    <mergeCell ref="B21:K21"/>
    <mergeCell ref="M16:M17"/>
    <mergeCell ref="B16:B17"/>
    <mergeCell ref="C16:E17"/>
    <mergeCell ref="B12:B13"/>
    <mergeCell ref="C12:E13"/>
    <mergeCell ref="M12:M13"/>
    <mergeCell ref="O12:O13"/>
    <mergeCell ref="B14:B15"/>
    <mergeCell ref="C14:E15"/>
    <mergeCell ref="M14:M15"/>
    <mergeCell ref="O14:O15"/>
    <mergeCell ref="M4:M5"/>
    <mergeCell ref="B8:B9"/>
    <mergeCell ref="C8:E9"/>
    <mergeCell ref="M8:M9"/>
    <mergeCell ref="O8:O9"/>
    <mergeCell ref="B10:B11"/>
    <mergeCell ref="C10:E11"/>
    <mergeCell ref="M10:M11"/>
    <mergeCell ref="O10:O11"/>
    <mergeCell ref="B6:B7"/>
    <mergeCell ref="C6:E7"/>
    <mergeCell ref="M6:M7"/>
    <mergeCell ref="O6:O7"/>
    <mergeCell ref="B1:O1"/>
    <mergeCell ref="B2:O2"/>
    <mergeCell ref="O4:O5"/>
    <mergeCell ref="C3:E3"/>
    <mergeCell ref="B4:B5"/>
    <mergeCell ref="C4:E5"/>
  </mergeCells>
  <phoneticPr fontId="9" type="noConversion"/>
  <printOptions horizontalCentered="1"/>
  <pageMargins left="0.31496062992125984" right="0.31496062992125984" top="0.35433070866141736" bottom="0.55118110236220474" header="0.31496062992125984" footer="0.31496062992125984"/>
  <pageSetup paperSize="9" scale="53" orientation="portrait" horizontalDpi="4294967293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1"/>
  <sheetViews>
    <sheetView topLeftCell="A43" workbookViewId="0">
      <selection activeCell="K60" sqref="K60"/>
    </sheetView>
  </sheetViews>
  <sheetFormatPr defaultRowHeight="15"/>
  <cols>
    <col min="1" max="1" width="4" style="30" customWidth="1"/>
    <col min="2" max="12" width="10.28515625" customWidth="1"/>
    <col min="13" max="13" width="10.28515625" style="38" customWidth="1"/>
    <col min="14" max="15" width="10.28515625" customWidth="1"/>
  </cols>
  <sheetData>
    <row r="1" spans="2:15" ht="36" customHeight="1">
      <c r="B1" s="82" t="s">
        <v>28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2:15" ht="45.75" customHeight="1" thickBot="1">
      <c r="B2" s="83" t="s">
        <v>49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2:15" ht="30" customHeight="1" thickBot="1">
      <c r="B3" s="25"/>
      <c r="C3" s="85" t="s">
        <v>0</v>
      </c>
      <c r="D3" s="86"/>
      <c r="E3" s="87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22">
        <v>7</v>
      </c>
      <c r="M3" s="3" t="s">
        <v>1</v>
      </c>
      <c r="N3" s="1" t="s">
        <v>3</v>
      </c>
      <c r="O3" s="4" t="s">
        <v>2</v>
      </c>
    </row>
    <row r="4" spans="2:15" ht="24" customHeight="1">
      <c r="B4" s="88">
        <v>1</v>
      </c>
      <c r="C4" s="90" t="s">
        <v>59</v>
      </c>
      <c r="D4" s="91"/>
      <c r="E4" s="92"/>
      <c r="F4" s="10"/>
      <c r="G4" s="6" t="str">
        <f ca="1">INDIRECT(ADDRESS(29,6))&amp;":"&amp;INDIRECT(ADDRESS(29,7))</f>
        <v>13:4</v>
      </c>
      <c r="H4" s="6" t="str">
        <f ca="1">INDIRECT(ADDRESS(32,7))&amp;":"&amp;INDIRECT(ADDRESS(32,6))</f>
        <v>11:12</v>
      </c>
      <c r="I4" s="6" t="str">
        <f ca="1">INDIRECT(ADDRESS(38,6))&amp;":"&amp;INDIRECT(ADDRESS(38,7))</f>
        <v>13:6</v>
      </c>
      <c r="J4" s="6" t="str">
        <f ca="1">INDIRECT(ADDRESS(43,7))&amp;":"&amp;INDIRECT(ADDRESS(43,6))</f>
        <v>13:0</v>
      </c>
      <c r="K4" s="43" t="str">
        <f ca="1">INDIRECT(ADDRESS(47,6))&amp;":"&amp;INDIRECT(ADDRESS(47,7))</f>
        <v>13:2</v>
      </c>
      <c r="L4" s="21" t="str">
        <f ca="1">INDIRECT(ADDRESS(54,7))&amp;":"&amp;INDIRECT(ADDRESS(54,6))</f>
        <v>13:8</v>
      </c>
      <c r="M4" s="114">
        <f ca="1">IF(COUNT(F5:L5)=0,"",COUNTIF(F5:L5,"&gt;0")+0.5*COUNTIF(F5:L5,0))</f>
        <v>5</v>
      </c>
      <c r="N4" s="24"/>
      <c r="O4" s="80">
        <v>1</v>
      </c>
    </row>
    <row r="5" spans="2:15" ht="24" customHeight="1">
      <c r="B5" s="89"/>
      <c r="C5" s="93"/>
      <c r="D5" s="94"/>
      <c r="E5" s="95"/>
      <c r="F5" s="14"/>
      <c r="G5" s="17">
        <f ca="1">IF(LEN(INDIRECT(ADDRESS(ROW()-1, COLUMN())))=1,"",INDIRECT(ADDRESS(29,6))-INDIRECT(ADDRESS(29,7)))</f>
        <v>9</v>
      </c>
      <c r="H5" s="17">
        <f ca="1">IF(LEN(INDIRECT(ADDRESS(ROW()-1, COLUMN())))=1,"",INDIRECT(ADDRESS(32,7))-INDIRECT(ADDRESS(32,6)))</f>
        <v>-1</v>
      </c>
      <c r="I5" s="17">
        <f ca="1">IF(LEN(INDIRECT(ADDRESS(ROW()-1, COLUMN())))=1,"",INDIRECT(ADDRESS(38,6))-INDIRECT(ADDRESS(38,7)))</f>
        <v>7</v>
      </c>
      <c r="J5" s="17">
        <f ca="1">IF(LEN(INDIRECT(ADDRESS(ROW()-1, COLUMN())))=1,"",INDIRECT(ADDRESS(43,7))-INDIRECT(ADDRESS(43,6)))</f>
        <v>13</v>
      </c>
      <c r="K5" s="44">
        <f ca="1">IF(LEN(INDIRECT(ADDRESS(ROW()-1, COLUMN())))=1,"",INDIRECT(ADDRESS(47,6))-INDIRECT(ADDRESS(47,7)))</f>
        <v>11</v>
      </c>
      <c r="L5" s="18">
        <f ca="1">IF(LEN(INDIRECT(ADDRESS(ROW()-1, COLUMN())))=1,"",INDIRECT(ADDRESS(54,7))-INDIRECT(ADDRESS(54,6)))</f>
        <v>5</v>
      </c>
      <c r="M5" s="113"/>
      <c r="N5" s="17">
        <f ca="1">IF(COUNT(F5:L5)=0,"",SUM(F5:L5))</f>
        <v>44</v>
      </c>
      <c r="O5" s="81"/>
    </row>
    <row r="6" spans="2:15" ht="24" customHeight="1">
      <c r="B6" s="98">
        <v>2</v>
      </c>
      <c r="C6" s="93" t="s">
        <v>60</v>
      </c>
      <c r="D6" s="94"/>
      <c r="E6" s="95"/>
      <c r="F6" s="12" t="str">
        <f ca="1">INDIRECT(ADDRESS(29,7))&amp;":"&amp;INDIRECT(ADDRESS(29,6))</f>
        <v>4:13</v>
      </c>
      <c r="G6" s="8"/>
      <c r="H6" s="7" t="str">
        <f ca="1">INDIRECT(ADDRESS(39,6))&amp;":"&amp;INDIRECT(ADDRESS(39,7))</f>
        <v>13:1</v>
      </c>
      <c r="I6" s="7" t="str">
        <f ca="1">INDIRECT(ADDRESS(42,7))&amp;":"&amp;INDIRECT(ADDRESS(42,6))</f>
        <v>1:10</v>
      </c>
      <c r="J6" s="7" t="str">
        <f ca="1">INDIRECT(ADDRESS(48,6))&amp;":"&amp;INDIRECT(ADDRESS(48,7))</f>
        <v>13:4</v>
      </c>
      <c r="K6" s="45" t="str">
        <f ca="1">INDIRECT(ADDRESS(53,7))&amp;":"&amp;INDIRECT(ADDRESS(53,6))</f>
        <v>13:4</v>
      </c>
      <c r="L6" s="11" t="str">
        <f ca="1">INDIRECT(ADDRESS(22,6))&amp;":"&amp;INDIRECT(ADDRESS(22,7))</f>
        <v>1:13</v>
      </c>
      <c r="M6" s="113">
        <f ca="1">IF(COUNT(F7:L7)=0,"",COUNTIF(F7:L7,"&gt;0")+0.5*COUNTIF(F7:L7,0))</f>
        <v>3</v>
      </c>
      <c r="N6" s="17"/>
      <c r="O6" s="84">
        <v>4</v>
      </c>
    </row>
    <row r="7" spans="2:15" ht="24" customHeight="1">
      <c r="B7" s="89"/>
      <c r="C7" s="93"/>
      <c r="D7" s="94"/>
      <c r="E7" s="95"/>
      <c r="F7" s="23">
        <f ca="1">IF(LEN(INDIRECT(ADDRESS(ROW()-1, COLUMN())))=1,"",INDIRECT(ADDRESS(29,7))-INDIRECT(ADDRESS(29,6)))</f>
        <v>-9</v>
      </c>
      <c r="G7" s="15"/>
      <c r="H7" s="17">
        <f ca="1">IF(LEN(INDIRECT(ADDRESS(ROW()-1, COLUMN())))=1,"",INDIRECT(ADDRESS(39,6))-INDIRECT(ADDRESS(39,7)))</f>
        <v>12</v>
      </c>
      <c r="I7" s="17">
        <f ca="1">IF(LEN(INDIRECT(ADDRESS(ROW()-1, COLUMN())))=1,"",INDIRECT(ADDRESS(42,7))-INDIRECT(ADDRESS(42,6)))</f>
        <v>-9</v>
      </c>
      <c r="J7" s="17">
        <f ca="1">IF(LEN(INDIRECT(ADDRESS(ROW()-1, COLUMN())))=1,"",INDIRECT(ADDRESS(48,6))-INDIRECT(ADDRESS(48,7)))</f>
        <v>9</v>
      </c>
      <c r="K7" s="44">
        <f ca="1">IF(LEN(INDIRECT(ADDRESS(ROW()-1, COLUMN())))=1,"",INDIRECT(ADDRESS(53,7))-INDIRECT(ADDRESS(53,6)))</f>
        <v>9</v>
      </c>
      <c r="L7" s="18">
        <f ca="1">IF(LEN(INDIRECT(ADDRESS(ROW()-1, COLUMN())))=1,"",INDIRECT(ADDRESS(22,6))-INDIRECT(ADDRESS(22,7)))</f>
        <v>-12</v>
      </c>
      <c r="M7" s="113"/>
      <c r="N7" s="17">
        <f ca="1">IF(COUNT(F7:L7)=0,"",SUM(F7:L7))</f>
        <v>0</v>
      </c>
      <c r="O7" s="81"/>
    </row>
    <row r="8" spans="2:15" ht="24" customHeight="1">
      <c r="B8" s="98">
        <v>3</v>
      </c>
      <c r="C8" s="93" t="s">
        <v>61</v>
      </c>
      <c r="D8" s="94"/>
      <c r="E8" s="95"/>
      <c r="F8" s="12" t="str">
        <f ca="1">INDIRECT(ADDRESS(32,6))&amp;":"&amp;INDIRECT(ADDRESS(32,7))</f>
        <v>12:11</v>
      </c>
      <c r="G8" s="7" t="str">
        <f ca="1">INDIRECT(ADDRESS(39,7))&amp;":"&amp;INDIRECT(ADDRESS(39,6))</f>
        <v>1:13</v>
      </c>
      <c r="H8" s="8"/>
      <c r="I8" s="7" t="str">
        <f ca="1">INDIRECT(ADDRESS(49,6))&amp;":"&amp;INDIRECT(ADDRESS(49,7))</f>
        <v>5:13</v>
      </c>
      <c r="J8" s="7" t="str">
        <f ca="1">INDIRECT(ADDRESS(52,7))&amp;":"&amp;INDIRECT(ADDRESS(52,6))</f>
        <v>13:4</v>
      </c>
      <c r="K8" s="45" t="str">
        <f ca="1">INDIRECT(ADDRESS(23,6))&amp;":"&amp;INDIRECT(ADDRESS(23,7))</f>
        <v>13:4</v>
      </c>
      <c r="L8" s="11" t="str">
        <f ca="1">INDIRECT(ADDRESS(28,7))&amp;":"&amp;INDIRECT(ADDRESS(28,6))</f>
        <v>3:13</v>
      </c>
      <c r="M8" s="113">
        <f ca="1">IF(COUNT(F9:L9)=0,"",COUNTIF(F9:L9,"&gt;0")+0.5*COUNTIF(F9:L9,0))</f>
        <v>3</v>
      </c>
      <c r="N8" s="17"/>
      <c r="O8" s="84">
        <v>5</v>
      </c>
    </row>
    <row r="9" spans="2:15" ht="24" customHeight="1">
      <c r="B9" s="89"/>
      <c r="C9" s="93"/>
      <c r="D9" s="94"/>
      <c r="E9" s="95"/>
      <c r="F9" s="23">
        <f ca="1">IF(LEN(INDIRECT(ADDRESS(ROW()-1, COLUMN())))=1,"",INDIRECT(ADDRESS(32,6))-INDIRECT(ADDRESS(32,7)))</f>
        <v>1</v>
      </c>
      <c r="G9" s="17">
        <f ca="1">IF(LEN(INDIRECT(ADDRESS(ROW()-1, COLUMN())))=1,"",INDIRECT(ADDRESS(39,7))-INDIRECT(ADDRESS(39,6)))</f>
        <v>-12</v>
      </c>
      <c r="H9" s="15"/>
      <c r="I9" s="17">
        <f ca="1">IF(LEN(INDIRECT(ADDRESS(ROW()-1, COLUMN())))=1,"",INDIRECT(ADDRESS(49,6))-INDIRECT(ADDRESS(49,7)))</f>
        <v>-8</v>
      </c>
      <c r="J9" s="17">
        <f ca="1">IF(LEN(INDIRECT(ADDRESS(ROW()-1, COLUMN())))=1,"",INDIRECT(ADDRESS(52,7))-INDIRECT(ADDRESS(52,6)))</f>
        <v>9</v>
      </c>
      <c r="K9" s="44">
        <f ca="1">IF(LEN(INDIRECT(ADDRESS(ROW()-1, COLUMN())))=1,"",INDIRECT(ADDRESS(23,6))-INDIRECT(ADDRESS(23,7)))</f>
        <v>9</v>
      </c>
      <c r="L9" s="18">
        <f ca="1">IF(LEN(INDIRECT(ADDRESS(ROW()-1, COLUMN())))=1,"",INDIRECT(ADDRESS(28,7))-INDIRECT(ADDRESS(28,6)))</f>
        <v>-10</v>
      </c>
      <c r="M9" s="113"/>
      <c r="N9" s="17">
        <f ca="1">IF(COUNT(F9:L9)=0,"",SUM(F9:L9))</f>
        <v>-11</v>
      </c>
      <c r="O9" s="81"/>
    </row>
    <row r="10" spans="2:15" ht="24" customHeight="1">
      <c r="B10" s="98">
        <v>4</v>
      </c>
      <c r="C10" s="93" t="s">
        <v>62</v>
      </c>
      <c r="D10" s="94"/>
      <c r="E10" s="95"/>
      <c r="F10" s="12" t="str">
        <f ca="1">INDIRECT(ADDRESS(38,7))&amp;":"&amp;INDIRECT(ADDRESS(38,6))</f>
        <v>6:13</v>
      </c>
      <c r="G10" s="7" t="str">
        <f ca="1">INDIRECT(ADDRESS(42,6))&amp;":"&amp;INDIRECT(ADDRESS(42,7))</f>
        <v>10:1</v>
      </c>
      <c r="H10" s="7" t="str">
        <f ca="1">INDIRECT(ADDRESS(49,7))&amp;":"&amp;INDIRECT(ADDRESS(49,6))</f>
        <v>13:5</v>
      </c>
      <c r="I10" s="8"/>
      <c r="J10" s="7" t="str">
        <f ca="1">INDIRECT(ADDRESS(24,6))&amp;":"&amp;INDIRECT(ADDRESS(24,7))</f>
        <v>13:3</v>
      </c>
      <c r="K10" s="45" t="str">
        <f ca="1">INDIRECT(ADDRESS(27,7))&amp;":"&amp;INDIRECT(ADDRESS(27,6))</f>
        <v>12:5</v>
      </c>
      <c r="L10" s="11" t="str">
        <f ca="1">INDIRECT(ADDRESS(33,6))&amp;":"&amp;INDIRECT(ADDRESS(33,7))</f>
        <v>4:13</v>
      </c>
      <c r="M10" s="113">
        <f ca="1">IF(COUNT(F11:L11)=0,"",COUNTIF(F11:L11,"&gt;0")+0.5*COUNTIF(F11:L11,0))</f>
        <v>4</v>
      </c>
      <c r="N10" s="17"/>
      <c r="O10" s="84">
        <v>3</v>
      </c>
    </row>
    <row r="11" spans="2:15" ht="24" customHeight="1">
      <c r="B11" s="89"/>
      <c r="C11" s="93"/>
      <c r="D11" s="94"/>
      <c r="E11" s="95"/>
      <c r="F11" s="23">
        <f ca="1">IF(LEN(INDIRECT(ADDRESS(ROW()-1, COLUMN())))=1,"",INDIRECT(ADDRESS(38,7))-INDIRECT(ADDRESS(38,6)))</f>
        <v>-7</v>
      </c>
      <c r="G11" s="17">
        <f ca="1">IF(LEN(INDIRECT(ADDRESS(ROW()-1, COLUMN())))=1,"",INDIRECT(ADDRESS(42,6))-INDIRECT(ADDRESS(42,7)))</f>
        <v>9</v>
      </c>
      <c r="H11" s="17">
        <f ca="1">IF(LEN(INDIRECT(ADDRESS(ROW()-1, COLUMN())))=1,"",INDIRECT(ADDRESS(49,7))-INDIRECT(ADDRESS(49,6)))</f>
        <v>8</v>
      </c>
      <c r="I11" s="15"/>
      <c r="J11" s="17">
        <f ca="1">IF(LEN(INDIRECT(ADDRESS(ROW()-1, COLUMN())))=1,"",INDIRECT(ADDRESS(24,6))-INDIRECT(ADDRESS(24,7)))</f>
        <v>10</v>
      </c>
      <c r="K11" s="44">
        <f ca="1">IF(LEN(INDIRECT(ADDRESS(ROW()-1, COLUMN())))=1,"",INDIRECT(ADDRESS(27,7))-INDIRECT(ADDRESS(27,6)))</f>
        <v>7</v>
      </c>
      <c r="L11" s="18">
        <f ca="1">IF(LEN(INDIRECT(ADDRESS(ROW()-1, COLUMN())))=1,"",INDIRECT(ADDRESS(33,6))-INDIRECT(ADDRESS(33,7)))</f>
        <v>-9</v>
      </c>
      <c r="M11" s="113"/>
      <c r="N11" s="17">
        <f ca="1">IF(COUNT(F11:L11)=0,"",SUM(F11:L11))</f>
        <v>18</v>
      </c>
      <c r="O11" s="81"/>
    </row>
    <row r="12" spans="2:15" ht="24" customHeight="1">
      <c r="B12" s="98">
        <v>5</v>
      </c>
      <c r="C12" s="93" t="s">
        <v>63</v>
      </c>
      <c r="D12" s="94"/>
      <c r="E12" s="95"/>
      <c r="F12" s="12" t="str">
        <f ca="1">INDIRECT(ADDRESS(43,6))&amp;":"&amp;INDIRECT(ADDRESS(43,7))</f>
        <v>0:13</v>
      </c>
      <c r="G12" s="7" t="str">
        <f ca="1">INDIRECT(ADDRESS(48,7))&amp;":"&amp;INDIRECT(ADDRESS(48,6))</f>
        <v>4:13</v>
      </c>
      <c r="H12" s="7" t="str">
        <f ca="1">INDIRECT(ADDRESS(52,6))&amp;":"&amp;INDIRECT(ADDRESS(52,7))</f>
        <v>4:13</v>
      </c>
      <c r="I12" s="7" t="str">
        <f ca="1">INDIRECT(ADDRESS(24,7))&amp;":"&amp;INDIRECT(ADDRESS(24,6))</f>
        <v>3:13</v>
      </c>
      <c r="J12" s="8"/>
      <c r="K12" s="45" t="str">
        <f ca="1">INDIRECT(ADDRESS(34,6))&amp;":"&amp;INDIRECT(ADDRESS(34,7))</f>
        <v>12:9</v>
      </c>
      <c r="L12" s="11" t="str">
        <f ca="1">INDIRECT(ADDRESS(37,7))&amp;":"&amp;INDIRECT(ADDRESS(37,6))</f>
        <v>6:13</v>
      </c>
      <c r="M12" s="113">
        <f ca="1">IF(COUNT(F13:L13)=0,"",COUNTIF(F13:L13,"&gt;0")+0.5*COUNTIF(F13:L13,0))</f>
        <v>1</v>
      </c>
      <c r="N12" s="17"/>
      <c r="O12" s="84">
        <v>6</v>
      </c>
    </row>
    <row r="13" spans="2:15" ht="24" customHeight="1">
      <c r="B13" s="89"/>
      <c r="C13" s="93"/>
      <c r="D13" s="94"/>
      <c r="E13" s="95"/>
      <c r="F13" s="23">
        <f ca="1">IF(LEN(INDIRECT(ADDRESS(ROW()-1, COLUMN())))=1,"",INDIRECT(ADDRESS(43,6))-INDIRECT(ADDRESS(43,7)))</f>
        <v>-13</v>
      </c>
      <c r="G13" s="17">
        <f ca="1">IF(LEN(INDIRECT(ADDRESS(ROW()-1, COLUMN())))=1,"",INDIRECT(ADDRESS(48,7))-INDIRECT(ADDRESS(48,6)))</f>
        <v>-9</v>
      </c>
      <c r="H13" s="17">
        <f ca="1">IF(LEN(INDIRECT(ADDRESS(ROW()-1, COLUMN())))=1,"",INDIRECT(ADDRESS(52,6))-INDIRECT(ADDRESS(52,7)))</f>
        <v>-9</v>
      </c>
      <c r="I13" s="17">
        <f ca="1">IF(LEN(INDIRECT(ADDRESS(ROW()-1, COLUMN())))=1,"",INDIRECT(ADDRESS(24,7))-INDIRECT(ADDRESS(24,6)))</f>
        <v>-10</v>
      </c>
      <c r="J13" s="15"/>
      <c r="K13" s="44">
        <f ca="1">IF(LEN(INDIRECT(ADDRESS(ROW()-1, COLUMN())))=1,"",INDIRECT(ADDRESS(34,6))-INDIRECT(ADDRESS(34,7)))</f>
        <v>3</v>
      </c>
      <c r="L13" s="18">
        <f ca="1">IF(LEN(INDIRECT(ADDRESS(ROW()-1, COLUMN())))=1,"",INDIRECT(ADDRESS(37,7))-INDIRECT(ADDRESS(37,6)))</f>
        <v>-7</v>
      </c>
      <c r="M13" s="113"/>
      <c r="N13" s="17">
        <f ca="1">IF(COUNT(F13:L13)=0,"",SUM(F13:L13))</f>
        <v>-45</v>
      </c>
      <c r="O13" s="81"/>
    </row>
    <row r="14" spans="2:15" ht="24" customHeight="1">
      <c r="B14" s="98">
        <v>6</v>
      </c>
      <c r="C14" s="93" t="s">
        <v>64</v>
      </c>
      <c r="D14" s="94"/>
      <c r="E14" s="95"/>
      <c r="F14" s="12" t="str">
        <f ca="1">INDIRECT(ADDRESS(47,7))&amp;":"&amp;INDIRECT(ADDRESS(47,6))</f>
        <v>2:13</v>
      </c>
      <c r="G14" s="7" t="str">
        <f ca="1">INDIRECT(ADDRESS(53,6))&amp;":"&amp;INDIRECT(ADDRESS(53,7))</f>
        <v>4:13</v>
      </c>
      <c r="H14" s="7" t="str">
        <f ca="1">INDIRECT(ADDRESS(23,7))&amp;":"&amp;INDIRECT(ADDRESS(23,6))</f>
        <v>4:13</v>
      </c>
      <c r="I14" s="7" t="str">
        <f ca="1">INDIRECT(ADDRESS(27,6))&amp;":"&amp;INDIRECT(ADDRESS(27,7))</f>
        <v>5:12</v>
      </c>
      <c r="J14" s="7" t="str">
        <f ca="1">INDIRECT(ADDRESS(34,7))&amp;":"&amp;INDIRECT(ADDRESS(34,6))</f>
        <v>9:12</v>
      </c>
      <c r="K14" s="46"/>
      <c r="L14" s="50" t="str">
        <f ca="1">INDIRECT(ADDRESS(44,6))&amp;":"&amp;INDIRECT(ADDRESS(44,7))</f>
        <v>7:10</v>
      </c>
      <c r="M14" s="113">
        <f ca="1">IF(COUNT(F15:L15)=0,"",COUNTIF(F15:L15,"&gt;0")+0.5*COUNTIF(F15:L15,0))</f>
        <v>0</v>
      </c>
      <c r="N14" s="17"/>
      <c r="O14" s="84">
        <v>7</v>
      </c>
    </row>
    <row r="15" spans="2:15" ht="24" customHeight="1">
      <c r="B15" s="89"/>
      <c r="C15" s="93"/>
      <c r="D15" s="94"/>
      <c r="E15" s="95"/>
      <c r="F15" s="23">
        <f ca="1">IF(LEN(INDIRECT(ADDRESS(ROW()-1, COLUMN())))=1,"",INDIRECT(ADDRESS(47,7))-INDIRECT(ADDRESS(47,6)))</f>
        <v>-11</v>
      </c>
      <c r="G15" s="17">
        <f ca="1">IF(LEN(INDIRECT(ADDRESS(ROW()-1, COLUMN())))=1,"",INDIRECT(ADDRESS(53,6))-INDIRECT(ADDRESS(53,7)))</f>
        <v>-9</v>
      </c>
      <c r="H15" s="17">
        <f ca="1">IF(LEN(INDIRECT(ADDRESS(ROW()-1, COLUMN())))=1,"",INDIRECT(ADDRESS(23,7))-INDIRECT(ADDRESS(23,6)))</f>
        <v>-9</v>
      </c>
      <c r="I15" s="17">
        <f ca="1">IF(LEN(INDIRECT(ADDRESS(ROW()-1, COLUMN())))=1,"",INDIRECT(ADDRESS(27,6))-INDIRECT(ADDRESS(27,7)))</f>
        <v>-7</v>
      </c>
      <c r="J15" s="17">
        <f ca="1">IF(LEN(INDIRECT(ADDRESS(ROW()-1, COLUMN())))=1,"",INDIRECT(ADDRESS(34,7))-INDIRECT(ADDRESS(34,6)))</f>
        <v>-3</v>
      </c>
      <c r="K15" s="47"/>
      <c r="L15" s="51">
        <f ca="1">IF(LEN(INDIRECT(ADDRESS(ROW()-1, COLUMN())))=1,"",INDIRECT(ADDRESS(44,6))-INDIRECT(ADDRESS(44,7)))</f>
        <v>-3</v>
      </c>
      <c r="M15" s="113"/>
      <c r="N15" s="17">
        <f ca="1">IF(COUNT(F15:L15)=0,"",SUM(F15:L15))</f>
        <v>-42</v>
      </c>
      <c r="O15" s="81"/>
    </row>
    <row r="16" spans="2:15" ht="24" customHeight="1">
      <c r="B16" s="119">
        <v>7</v>
      </c>
      <c r="C16" s="120" t="s">
        <v>65</v>
      </c>
      <c r="D16" s="121"/>
      <c r="E16" s="122"/>
      <c r="F16" s="39" t="str">
        <f ca="1">INDIRECT(ADDRESS(54,6))&amp;":"&amp;INDIRECT(ADDRESS(54,7))</f>
        <v>8:13</v>
      </c>
      <c r="G16" s="40" t="str">
        <f ca="1">INDIRECT(ADDRESS(22,7))&amp;":"&amp;INDIRECT(ADDRESS(22,6))</f>
        <v>13:1</v>
      </c>
      <c r="H16" s="40" t="str">
        <f ca="1">INDIRECT(ADDRESS(28,6))&amp;":"&amp;INDIRECT(ADDRESS(28,7))</f>
        <v>13:3</v>
      </c>
      <c r="I16" s="40" t="str">
        <f ca="1">INDIRECT(ADDRESS(33,7))&amp;":"&amp;INDIRECT(ADDRESS(33,6))</f>
        <v>13:4</v>
      </c>
      <c r="J16" s="40" t="str">
        <f ca="1">INDIRECT(ADDRESS(37,6))&amp;":"&amp;INDIRECT(ADDRESS(37,7))</f>
        <v>13:6</v>
      </c>
      <c r="K16" s="48" t="str">
        <f ca="1">INDIRECT(ADDRESS(44,7))&amp;":"&amp;INDIRECT(ADDRESS(44,6))</f>
        <v>10:7</v>
      </c>
      <c r="L16" s="41"/>
      <c r="M16" s="113">
        <f ca="1">IF(COUNT(F17:L17)=0,"",COUNTIF(F17:L17,"&gt;0")+0.5*COUNTIF(F17:L17,0))</f>
        <v>5</v>
      </c>
      <c r="N16" s="42"/>
      <c r="O16" s="123">
        <v>2</v>
      </c>
    </row>
    <row r="17" spans="2:15" ht="24" customHeight="1" thickBot="1">
      <c r="B17" s="103"/>
      <c r="C17" s="104"/>
      <c r="D17" s="105"/>
      <c r="E17" s="106"/>
      <c r="F17" s="20">
        <f ca="1">IF(LEN(INDIRECT(ADDRESS(ROW()-1, COLUMN())))=1,"",INDIRECT(ADDRESS(54,6))-INDIRECT(ADDRESS(54,7)))</f>
        <v>-5</v>
      </c>
      <c r="G17" s="19">
        <f ca="1">IF(LEN(INDIRECT(ADDRESS(ROW()-1, COLUMN())))=1,"",INDIRECT(ADDRESS(22,7))-INDIRECT(ADDRESS(22,6)))</f>
        <v>12</v>
      </c>
      <c r="H17" s="19">
        <f ca="1">IF(LEN(INDIRECT(ADDRESS(ROW()-1, COLUMN())))=1,"",INDIRECT(ADDRESS(28,6))-INDIRECT(ADDRESS(28,7)))</f>
        <v>10</v>
      </c>
      <c r="I17" s="19">
        <f ca="1">IF(LEN(INDIRECT(ADDRESS(ROW()-1, COLUMN())))=1,"",INDIRECT(ADDRESS(33,7))-INDIRECT(ADDRESS(33,6)))</f>
        <v>9</v>
      </c>
      <c r="J17" s="19">
        <f ca="1">IF(LEN(INDIRECT(ADDRESS(ROW()-1, COLUMN())))=1,"",INDIRECT(ADDRESS(37,6))-INDIRECT(ADDRESS(37,7)))</f>
        <v>7</v>
      </c>
      <c r="K17" s="49">
        <f ca="1">IF(LEN(INDIRECT(ADDRESS(ROW()-1, COLUMN())))=1,"",INDIRECT(ADDRESS(44,7))-INDIRECT(ADDRESS(44,6)))</f>
        <v>3</v>
      </c>
      <c r="L17" s="16"/>
      <c r="M17" s="118"/>
      <c r="N17" s="19">
        <f ca="1">IF(COUNT(F17:L17)=0,"",SUM(F17:L17))</f>
        <v>36</v>
      </c>
      <c r="O17" s="108"/>
    </row>
    <row r="18" spans="2:15">
      <c r="M18"/>
    </row>
    <row r="19" spans="2:15">
      <c r="M19"/>
    </row>
    <row r="20" spans="2:15">
      <c r="M20"/>
    </row>
    <row r="21" spans="2:15" ht="30" customHeight="1" thickBot="1">
      <c r="B21" s="99" t="s">
        <v>4</v>
      </c>
      <c r="C21" s="99"/>
      <c r="D21" s="99"/>
      <c r="E21" s="99"/>
      <c r="F21" s="99"/>
      <c r="G21" s="99"/>
      <c r="H21" s="99"/>
      <c r="I21" s="99"/>
      <c r="J21" s="99"/>
      <c r="K21" s="99"/>
      <c r="M21"/>
    </row>
    <row r="22" spans="2:15" ht="30" customHeight="1" thickBot="1">
      <c r="B22" s="5">
        <v>2</v>
      </c>
      <c r="C22" s="115" t="str">
        <f ca="1">IF(ISBLANK(INDIRECT(ADDRESS(B22*2+2,3))),"",INDIRECT(ADDRESS(B22*2+2,3)))</f>
        <v>Субанов, Воронцова</v>
      </c>
      <c r="D22" s="115"/>
      <c r="E22" s="116"/>
      <c r="F22" s="26">
        <v>1</v>
      </c>
      <c r="G22" s="27">
        <v>13</v>
      </c>
      <c r="H22" s="117" t="str">
        <f ca="1">IF(ISBLANK(INDIRECT(ADDRESS(K22*2+2,3))),"",INDIRECT(ADDRESS(K22*2+2,3)))</f>
        <v>Анухин, Чахова</v>
      </c>
      <c r="I22" s="115"/>
      <c r="J22" s="115"/>
      <c r="K22" s="5">
        <v>7</v>
      </c>
      <c r="L22" s="36" t="s">
        <v>22</v>
      </c>
      <c r="M22" s="29"/>
    </row>
    <row r="23" spans="2:15" ht="30" customHeight="1" thickBot="1">
      <c r="B23" s="5">
        <v>3</v>
      </c>
      <c r="C23" s="115" t="str">
        <f ca="1">IF(ISBLANK(INDIRECT(ADDRESS(B23*2+2,3))),"",INDIRECT(ADDRESS(B23*2+2,3)))</f>
        <v>Аверьянов, Лебедева</v>
      </c>
      <c r="D23" s="115"/>
      <c r="E23" s="116"/>
      <c r="F23" s="26">
        <v>13</v>
      </c>
      <c r="G23" s="27">
        <v>4</v>
      </c>
      <c r="H23" s="117" t="str">
        <f ca="1">IF(ISBLANK(INDIRECT(ADDRESS(K23*2+2,3))),"",INDIRECT(ADDRESS(K23*2+2,3)))</f>
        <v>Аникин, Мироненко</v>
      </c>
      <c r="I23" s="115"/>
      <c r="J23" s="115"/>
      <c r="K23" s="5">
        <v>6</v>
      </c>
      <c r="L23" s="36" t="s">
        <v>23</v>
      </c>
      <c r="M23" s="29"/>
    </row>
    <row r="24" spans="2:15" ht="30" customHeight="1" thickBot="1">
      <c r="B24" s="5">
        <v>4</v>
      </c>
      <c r="C24" s="115" t="str">
        <f ca="1">IF(ISBLANK(INDIRECT(ADDRESS(B24*2+2,3))),"",INDIRECT(ADDRESS(B24*2+2,3)))</f>
        <v>Калякин М., Татаринова</v>
      </c>
      <c r="D24" s="115"/>
      <c r="E24" s="116"/>
      <c r="F24" s="26">
        <v>13</v>
      </c>
      <c r="G24" s="27">
        <v>3</v>
      </c>
      <c r="H24" s="117" t="str">
        <f ca="1">IF(ISBLANK(INDIRECT(ADDRESS(K24*2+2,3))),"",INDIRECT(ADDRESS(K24*2+2,3)))</f>
        <v>Кравчинский, Вавилова</v>
      </c>
      <c r="I24" s="115"/>
      <c r="J24" s="115"/>
      <c r="K24" s="5">
        <v>5</v>
      </c>
      <c r="L24" s="36" t="s">
        <v>24</v>
      </c>
      <c r="M24" s="29"/>
    </row>
    <row r="25" spans="2:15" ht="30" customHeight="1"/>
    <row r="26" spans="2:15" ht="30" customHeight="1" thickBot="1">
      <c r="B26" s="99" t="s">
        <v>5</v>
      </c>
      <c r="C26" s="99"/>
      <c r="D26" s="99"/>
      <c r="E26" s="99"/>
      <c r="F26" s="99"/>
      <c r="G26" s="99"/>
      <c r="H26" s="99"/>
      <c r="I26" s="99"/>
      <c r="J26" s="99"/>
      <c r="K26" s="99"/>
    </row>
    <row r="27" spans="2:15" ht="30" customHeight="1" thickBot="1">
      <c r="B27" s="5">
        <v>6</v>
      </c>
      <c r="C27" s="115" t="str">
        <f ca="1">IF(ISBLANK(INDIRECT(ADDRESS(B27*2+2,3))),"",INDIRECT(ADDRESS(B27*2+2,3)))</f>
        <v>Аникин, Мироненко</v>
      </c>
      <c r="D27" s="115"/>
      <c r="E27" s="116"/>
      <c r="F27" s="26">
        <v>5</v>
      </c>
      <c r="G27" s="27">
        <v>12</v>
      </c>
      <c r="H27" s="117" t="str">
        <f ca="1">IF(ISBLANK(INDIRECT(ADDRESS(K27*2+2,3))),"",INDIRECT(ADDRESS(K27*2+2,3)))</f>
        <v>Калякин М., Татаринова</v>
      </c>
      <c r="I27" s="115"/>
      <c r="J27" s="115"/>
      <c r="K27" s="5">
        <v>4</v>
      </c>
      <c r="L27" s="36" t="s">
        <v>19</v>
      </c>
      <c r="M27" s="29"/>
    </row>
    <row r="28" spans="2:15" ht="30" customHeight="1" thickBot="1">
      <c r="B28" s="5">
        <v>7</v>
      </c>
      <c r="C28" s="115" t="str">
        <f ca="1">IF(ISBLANK(INDIRECT(ADDRESS(B28*2+2,3))),"",INDIRECT(ADDRESS(B28*2+2,3)))</f>
        <v>Анухин, Чахова</v>
      </c>
      <c r="D28" s="115"/>
      <c r="E28" s="116"/>
      <c r="F28" s="26">
        <v>13</v>
      </c>
      <c r="G28" s="27">
        <v>3</v>
      </c>
      <c r="H28" s="117" t="str">
        <f ca="1">IF(ISBLANK(INDIRECT(ADDRESS(K28*2+2,3))),"",INDIRECT(ADDRESS(K28*2+2,3)))</f>
        <v>Аверьянов, Лебедева</v>
      </c>
      <c r="I28" s="115"/>
      <c r="J28" s="115"/>
      <c r="K28" s="5">
        <v>3</v>
      </c>
      <c r="L28" s="36" t="s">
        <v>20</v>
      </c>
      <c r="M28" s="29"/>
    </row>
    <row r="29" spans="2:15" ht="30" customHeight="1" thickBot="1">
      <c r="B29" s="5">
        <v>1</v>
      </c>
      <c r="C29" s="115" t="str">
        <f ca="1">IF(ISBLANK(INDIRECT(ADDRESS(B29*2+2,3))),"",INDIRECT(ADDRESS(B29*2+2,3)))</f>
        <v>Капран-Индаяти, Потапова</v>
      </c>
      <c r="D29" s="115"/>
      <c r="E29" s="116"/>
      <c r="F29" s="26">
        <v>13</v>
      </c>
      <c r="G29" s="27">
        <v>4</v>
      </c>
      <c r="H29" s="117" t="str">
        <f ca="1">IF(ISBLANK(INDIRECT(ADDRESS(K29*2+2,3))),"",INDIRECT(ADDRESS(K29*2+2,3)))</f>
        <v>Субанов, Воронцова</v>
      </c>
      <c r="I29" s="115"/>
      <c r="J29" s="115"/>
      <c r="K29" s="5">
        <v>2</v>
      </c>
      <c r="L29" s="36" t="s">
        <v>21</v>
      </c>
      <c r="M29" s="29"/>
    </row>
    <row r="30" spans="2:15" ht="30" customHeight="1"/>
    <row r="31" spans="2:15" ht="30" customHeight="1" thickBot="1">
      <c r="B31" s="99" t="s">
        <v>6</v>
      </c>
      <c r="C31" s="99"/>
      <c r="D31" s="99"/>
      <c r="E31" s="99"/>
      <c r="F31" s="99"/>
      <c r="G31" s="99"/>
      <c r="H31" s="99"/>
      <c r="I31" s="99"/>
      <c r="J31" s="99"/>
      <c r="K31" s="99"/>
    </row>
    <row r="32" spans="2:15" ht="30" customHeight="1" thickBot="1">
      <c r="B32" s="5">
        <v>3</v>
      </c>
      <c r="C32" s="115" t="str">
        <f ca="1">IF(ISBLANK(INDIRECT(ADDRESS(B32*2+2,3))),"",INDIRECT(ADDRESS(B32*2+2,3)))</f>
        <v>Аверьянов, Лебедева</v>
      </c>
      <c r="D32" s="115"/>
      <c r="E32" s="116"/>
      <c r="F32" s="26">
        <v>12</v>
      </c>
      <c r="G32" s="27">
        <v>11</v>
      </c>
      <c r="H32" s="117" t="str">
        <f ca="1">IF(ISBLANK(INDIRECT(ADDRESS(K32*2+2,3))),"",INDIRECT(ADDRESS(K32*2+2,3)))</f>
        <v>Капран-Индаяти, Потапова</v>
      </c>
      <c r="I32" s="115"/>
      <c r="J32" s="115"/>
      <c r="K32" s="5">
        <v>1</v>
      </c>
      <c r="L32" s="36" t="s">
        <v>22</v>
      </c>
      <c r="M32" s="29"/>
    </row>
    <row r="33" spans="2:13" ht="30" customHeight="1" thickBot="1">
      <c r="B33" s="5">
        <v>4</v>
      </c>
      <c r="C33" s="115" t="str">
        <f ca="1">IF(ISBLANK(INDIRECT(ADDRESS(B33*2+2,3))),"",INDIRECT(ADDRESS(B33*2+2,3)))</f>
        <v>Калякин М., Татаринова</v>
      </c>
      <c r="D33" s="115"/>
      <c r="E33" s="116"/>
      <c r="F33" s="26">
        <v>4</v>
      </c>
      <c r="G33" s="27">
        <v>13</v>
      </c>
      <c r="H33" s="117" t="str">
        <f ca="1">IF(ISBLANK(INDIRECT(ADDRESS(K33*2+2,3))),"",INDIRECT(ADDRESS(K33*2+2,3)))</f>
        <v>Анухин, Чахова</v>
      </c>
      <c r="I33" s="115"/>
      <c r="J33" s="115"/>
      <c r="K33" s="5">
        <v>7</v>
      </c>
      <c r="L33" s="36" t="s">
        <v>23</v>
      </c>
      <c r="M33" s="29"/>
    </row>
    <row r="34" spans="2:13" ht="30" customHeight="1" thickBot="1">
      <c r="B34" s="5">
        <v>5</v>
      </c>
      <c r="C34" s="115" t="str">
        <f ca="1">IF(ISBLANK(INDIRECT(ADDRESS(B34*2+2,3))),"",INDIRECT(ADDRESS(B34*2+2,3)))</f>
        <v>Кравчинский, Вавилова</v>
      </c>
      <c r="D34" s="115"/>
      <c r="E34" s="116"/>
      <c r="F34" s="26">
        <v>12</v>
      </c>
      <c r="G34" s="27">
        <v>9</v>
      </c>
      <c r="H34" s="117" t="str">
        <f ca="1">IF(ISBLANK(INDIRECT(ADDRESS(K34*2+2,3))),"",INDIRECT(ADDRESS(K34*2+2,3)))</f>
        <v>Аникин, Мироненко</v>
      </c>
      <c r="I34" s="115"/>
      <c r="J34" s="115"/>
      <c r="K34" s="5">
        <v>6</v>
      </c>
      <c r="L34" s="36" t="s">
        <v>24</v>
      </c>
      <c r="M34" s="29"/>
    </row>
    <row r="35" spans="2:13" ht="30" customHeight="1"/>
    <row r="36" spans="2:13" ht="30" customHeight="1" thickBot="1">
      <c r="B36" s="99" t="s">
        <v>8</v>
      </c>
      <c r="C36" s="99"/>
      <c r="D36" s="99"/>
      <c r="E36" s="99"/>
      <c r="F36" s="99"/>
      <c r="G36" s="99"/>
      <c r="H36" s="99"/>
      <c r="I36" s="99"/>
      <c r="J36" s="99"/>
      <c r="K36" s="99"/>
    </row>
    <row r="37" spans="2:13" ht="30" customHeight="1" thickBot="1">
      <c r="B37" s="5">
        <v>7</v>
      </c>
      <c r="C37" s="115" t="str">
        <f ca="1">IF(ISBLANK(INDIRECT(ADDRESS(B37*2+2,3))),"",INDIRECT(ADDRESS(B37*2+2,3)))</f>
        <v>Анухин, Чахова</v>
      </c>
      <c r="D37" s="115"/>
      <c r="E37" s="116"/>
      <c r="F37" s="26">
        <v>13</v>
      </c>
      <c r="G37" s="27">
        <v>6</v>
      </c>
      <c r="H37" s="117" t="str">
        <f ca="1">IF(ISBLANK(INDIRECT(ADDRESS(K37*2+2,3))),"",INDIRECT(ADDRESS(K37*2+2,3)))</f>
        <v>Кравчинский, Вавилова</v>
      </c>
      <c r="I37" s="115"/>
      <c r="J37" s="115"/>
      <c r="K37" s="5">
        <v>5</v>
      </c>
      <c r="L37" s="36" t="s">
        <v>19</v>
      </c>
      <c r="M37" s="29"/>
    </row>
    <row r="38" spans="2:13" ht="30" customHeight="1" thickBot="1">
      <c r="B38" s="5">
        <v>1</v>
      </c>
      <c r="C38" s="115" t="str">
        <f ca="1">IF(ISBLANK(INDIRECT(ADDRESS(B38*2+2,3))),"",INDIRECT(ADDRESS(B38*2+2,3)))</f>
        <v>Капран-Индаяти, Потапова</v>
      </c>
      <c r="D38" s="115"/>
      <c r="E38" s="116"/>
      <c r="F38" s="26">
        <v>13</v>
      </c>
      <c r="G38" s="27">
        <v>6</v>
      </c>
      <c r="H38" s="117" t="str">
        <f ca="1">IF(ISBLANK(INDIRECT(ADDRESS(K38*2+2,3))),"",INDIRECT(ADDRESS(K38*2+2,3)))</f>
        <v>Калякин М., Татаринова</v>
      </c>
      <c r="I38" s="115"/>
      <c r="J38" s="115"/>
      <c r="K38" s="5">
        <v>4</v>
      </c>
      <c r="L38" s="36" t="s">
        <v>20</v>
      </c>
      <c r="M38" s="29"/>
    </row>
    <row r="39" spans="2:13" ht="30" customHeight="1" thickBot="1">
      <c r="B39" s="5">
        <v>2</v>
      </c>
      <c r="C39" s="115" t="str">
        <f ca="1">IF(ISBLANK(INDIRECT(ADDRESS(B39*2+2,3))),"",INDIRECT(ADDRESS(B39*2+2,3)))</f>
        <v>Субанов, Воронцова</v>
      </c>
      <c r="D39" s="115"/>
      <c r="E39" s="116"/>
      <c r="F39" s="26">
        <v>13</v>
      </c>
      <c r="G39" s="27">
        <v>1</v>
      </c>
      <c r="H39" s="117" t="str">
        <f ca="1">IF(ISBLANK(INDIRECT(ADDRESS(K39*2+2,3))),"",INDIRECT(ADDRESS(K39*2+2,3)))</f>
        <v>Аверьянов, Лебедева</v>
      </c>
      <c r="I39" s="115"/>
      <c r="J39" s="115"/>
      <c r="K39" s="5">
        <v>3</v>
      </c>
      <c r="L39" s="36" t="s">
        <v>21</v>
      </c>
      <c r="M39" s="29"/>
    </row>
    <row r="40" spans="2:13" ht="30" customHeight="1"/>
    <row r="41" spans="2:13" ht="30" customHeight="1" thickBot="1">
      <c r="B41" s="99" t="s">
        <v>9</v>
      </c>
      <c r="C41" s="99"/>
      <c r="D41" s="99"/>
      <c r="E41" s="99"/>
      <c r="F41" s="99"/>
      <c r="G41" s="99"/>
      <c r="H41" s="99"/>
      <c r="I41" s="99"/>
      <c r="J41" s="99"/>
      <c r="K41" s="99"/>
    </row>
    <row r="42" spans="2:13" ht="30" customHeight="1" thickBot="1">
      <c r="B42" s="5">
        <v>4</v>
      </c>
      <c r="C42" s="115" t="str">
        <f ca="1">IF(ISBLANK(INDIRECT(ADDRESS(B42*2+2,3))),"",INDIRECT(ADDRESS(B42*2+2,3)))</f>
        <v>Калякин М., Татаринова</v>
      </c>
      <c r="D42" s="115"/>
      <c r="E42" s="116"/>
      <c r="F42" s="26">
        <v>10</v>
      </c>
      <c r="G42" s="27">
        <v>1</v>
      </c>
      <c r="H42" s="117" t="str">
        <f ca="1">IF(ISBLANK(INDIRECT(ADDRESS(K42*2+2,3))),"",INDIRECT(ADDRESS(K42*2+2,3)))</f>
        <v>Субанов, Воронцова</v>
      </c>
      <c r="I42" s="115"/>
      <c r="J42" s="115"/>
      <c r="K42" s="5">
        <v>2</v>
      </c>
      <c r="L42" s="36" t="s">
        <v>22</v>
      </c>
      <c r="M42" s="29"/>
    </row>
    <row r="43" spans="2:13" ht="30" customHeight="1" thickBot="1">
      <c r="B43" s="5">
        <v>5</v>
      </c>
      <c r="C43" s="115" t="str">
        <f ca="1">IF(ISBLANK(INDIRECT(ADDRESS(B43*2+2,3))),"",INDIRECT(ADDRESS(B43*2+2,3)))</f>
        <v>Кравчинский, Вавилова</v>
      </c>
      <c r="D43" s="115"/>
      <c r="E43" s="116"/>
      <c r="F43" s="26">
        <v>0</v>
      </c>
      <c r="G43" s="27">
        <v>13</v>
      </c>
      <c r="H43" s="117" t="str">
        <f ca="1">IF(ISBLANK(INDIRECT(ADDRESS(K43*2+2,3))),"",INDIRECT(ADDRESS(K43*2+2,3)))</f>
        <v>Капран-Индаяти, Потапова</v>
      </c>
      <c r="I43" s="115"/>
      <c r="J43" s="115"/>
      <c r="K43" s="5">
        <v>1</v>
      </c>
      <c r="L43" s="36" t="s">
        <v>23</v>
      </c>
      <c r="M43" s="29"/>
    </row>
    <row r="44" spans="2:13" ht="30" customHeight="1" thickBot="1">
      <c r="B44" s="5">
        <v>6</v>
      </c>
      <c r="C44" s="115" t="str">
        <f ca="1">IF(ISBLANK(INDIRECT(ADDRESS(B44*2+2,3))),"",INDIRECT(ADDRESS(B44*2+2,3)))</f>
        <v>Аникин, Мироненко</v>
      </c>
      <c r="D44" s="115"/>
      <c r="E44" s="116"/>
      <c r="F44" s="26">
        <v>7</v>
      </c>
      <c r="G44" s="27">
        <v>10</v>
      </c>
      <c r="H44" s="117" t="str">
        <f ca="1">IF(ISBLANK(INDIRECT(ADDRESS(K44*2+2,3))),"",INDIRECT(ADDRESS(K44*2+2,3)))</f>
        <v>Анухин, Чахова</v>
      </c>
      <c r="I44" s="115"/>
      <c r="J44" s="115"/>
      <c r="K44" s="5">
        <v>7</v>
      </c>
      <c r="L44" s="36" t="s">
        <v>24</v>
      </c>
      <c r="M44" s="29"/>
    </row>
    <row r="45" spans="2:13" ht="30" customHeight="1"/>
    <row r="46" spans="2:13" ht="30" customHeight="1" thickBot="1">
      <c r="B46" s="99" t="s">
        <v>11</v>
      </c>
      <c r="C46" s="99"/>
      <c r="D46" s="99"/>
      <c r="E46" s="99"/>
      <c r="F46" s="99"/>
      <c r="G46" s="99"/>
      <c r="H46" s="99"/>
      <c r="I46" s="99"/>
      <c r="J46" s="99"/>
      <c r="K46" s="99"/>
    </row>
    <row r="47" spans="2:13" ht="30" customHeight="1" thickBot="1">
      <c r="B47" s="5">
        <v>1</v>
      </c>
      <c r="C47" s="115" t="str">
        <f ca="1">IF(ISBLANK(INDIRECT(ADDRESS(B47*2+2,3))),"",INDIRECT(ADDRESS(B47*2+2,3)))</f>
        <v>Капран-Индаяти, Потапова</v>
      </c>
      <c r="D47" s="115"/>
      <c r="E47" s="116"/>
      <c r="F47" s="26">
        <v>13</v>
      </c>
      <c r="G47" s="27">
        <v>2</v>
      </c>
      <c r="H47" s="117" t="str">
        <f ca="1">IF(ISBLANK(INDIRECT(ADDRESS(K47*2+2,3))),"",INDIRECT(ADDRESS(K47*2+2,3)))</f>
        <v>Аникин, Мироненко</v>
      </c>
      <c r="I47" s="115"/>
      <c r="J47" s="115"/>
      <c r="K47" s="5">
        <v>6</v>
      </c>
      <c r="L47" s="36" t="s">
        <v>19</v>
      </c>
      <c r="M47" s="29"/>
    </row>
    <row r="48" spans="2:13" ht="30" customHeight="1" thickBot="1">
      <c r="B48" s="5">
        <v>2</v>
      </c>
      <c r="C48" s="115" t="str">
        <f ca="1">IF(ISBLANK(INDIRECT(ADDRESS(B48*2+2,3))),"",INDIRECT(ADDRESS(B48*2+2,3)))</f>
        <v>Субанов, Воронцова</v>
      </c>
      <c r="D48" s="115"/>
      <c r="E48" s="116"/>
      <c r="F48" s="26">
        <v>13</v>
      </c>
      <c r="G48" s="27">
        <v>4</v>
      </c>
      <c r="H48" s="117" t="str">
        <f ca="1">IF(ISBLANK(INDIRECT(ADDRESS(K48*2+2,3))),"",INDIRECT(ADDRESS(K48*2+2,3)))</f>
        <v>Кравчинский, Вавилова</v>
      </c>
      <c r="I48" s="115"/>
      <c r="J48" s="115"/>
      <c r="K48" s="5">
        <v>5</v>
      </c>
      <c r="L48" s="36" t="s">
        <v>20</v>
      </c>
      <c r="M48" s="29"/>
    </row>
    <row r="49" spans="2:13" ht="30" customHeight="1" thickBot="1">
      <c r="B49" s="5">
        <v>3</v>
      </c>
      <c r="C49" s="115" t="str">
        <f ca="1">IF(ISBLANK(INDIRECT(ADDRESS(B49*2+2,3))),"",INDIRECT(ADDRESS(B49*2+2,3)))</f>
        <v>Аверьянов, Лебедева</v>
      </c>
      <c r="D49" s="115"/>
      <c r="E49" s="116"/>
      <c r="F49" s="26">
        <v>5</v>
      </c>
      <c r="G49" s="27">
        <v>13</v>
      </c>
      <c r="H49" s="117" t="str">
        <f ca="1">IF(ISBLANK(INDIRECT(ADDRESS(K49*2+2,3))),"",INDIRECT(ADDRESS(K49*2+2,3)))</f>
        <v>Калякин М., Татаринова</v>
      </c>
      <c r="I49" s="115"/>
      <c r="J49" s="115"/>
      <c r="K49" s="5">
        <v>4</v>
      </c>
      <c r="L49" s="36" t="s">
        <v>21</v>
      </c>
      <c r="M49" s="29"/>
    </row>
    <row r="50" spans="2:13" ht="30" customHeight="1"/>
    <row r="51" spans="2:13" ht="30" customHeight="1" thickBot="1">
      <c r="B51" s="99" t="s">
        <v>12</v>
      </c>
      <c r="C51" s="99"/>
      <c r="D51" s="99"/>
      <c r="E51" s="99"/>
      <c r="F51" s="99"/>
      <c r="G51" s="99"/>
      <c r="H51" s="99"/>
      <c r="I51" s="99"/>
      <c r="J51" s="99"/>
      <c r="K51" s="99"/>
    </row>
    <row r="52" spans="2:13" ht="30" customHeight="1" thickBot="1">
      <c r="B52" s="5">
        <v>5</v>
      </c>
      <c r="C52" s="115" t="str">
        <f ca="1">IF(ISBLANK(INDIRECT(ADDRESS(B52*2+2,3))),"",INDIRECT(ADDRESS(B52*2+2,3)))</f>
        <v>Кравчинский, Вавилова</v>
      </c>
      <c r="D52" s="115"/>
      <c r="E52" s="116"/>
      <c r="F52" s="26">
        <v>4</v>
      </c>
      <c r="G52" s="27">
        <v>13</v>
      </c>
      <c r="H52" s="117" t="str">
        <f ca="1">IF(ISBLANK(INDIRECT(ADDRESS(K52*2+2,3))),"",INDIRECT(ADDRESS(K52*2+2,3)))</f>
        <v>Аверьянов, Лебедева</v>
      </c>
      <c r="I52" s="115"/>
      <c r="J52" s="115"/>
      <c r="K52" s="5">
        <v>3</v>
      </c>
      <c r="L52" s="36" t="s">
        <v>22</v>
      </c>
      <c r="M52" s="29"/>
    </row>
    <row r="53" spans="2:13" ht="30" customHeight="1" thickBot="1">
      <c r="B53" s="5">
        <v>6</v>
      </c>
      <c r="C53" s="115" t="str">
        <f ca="1">IF(ISBLANK(INDIRECT(ADDRESS(B53*2+2,3))),"",INDIRECT(ADDRESS(B53*2+2,3)))</f>
        <v>Аникин, Мироненко</v>
      </c>
      <c r="D53" s="115"/>
      <c r="E53" s="116"/>
      <c r="F53" s="26">
        <v>4</v>
      </c>
      <c r="G53" s="27">
        <v>13</v>
      </c>
      <c r="H53" s="117" t="str">
        <f ca="1">IF(ISBLANK(INDIRECT(ADDRESS(K53*2+2,3))),"",INDIRECT(ADDRESS(K53*2+2,3)))</f>
        <v>Субанов, Воронцова</v>
      </c>
      <c r="I53" s="115"/>
      <c r="J53" s="115"/>
      <c r="K53" s="5">
        <v>2</v>
      </c>
      <c r="L53" s="36" t="s">
        <v>23</v>
      </c>
      <c r="M53" s="29"/>
    </row>
    <row r="54" spans="2:13" ht="30" customHeight="1" thickBot="1">
      <c r="B54" s="5">
        <v>7</v>
      </c>
      <c r="C54" s="115" t="str">
        <f ca="1">IF(ISBLANK(INDIRECT(ADDRESS(B54*2+2,3))),"",INDIRECT(ADDRESS(B54*2+2,3)))</f>
        <v>Анухин, Чахова</v>
      </c>
      <c r="D54" s="115"/>
      <c r="E54" s="116"/>
      <c r="F54" s="26">
        <v>8</v>
      </c>
      <c r="G54" s="27">
        <v>13</v>
      </c>
      <c r="H54" s="117" t="str">
        <f ca="1">IF(ISBLANK(INDIRECT(ADDRESS(K54*2+2,3))),"",INDIRECT(ADDRESS(K54*2+2,3)))</f>
        <v>Капран-Индаяти, Потапова</v>
      </c>
      <c r="I54" s="115"/>
      <c r="J54" s="115"/>
      <c r="K54" s="5">
        <v>1</v>
      </c>
      <c r="L54" s="36" t="s">
        <v>24</v>
      </c>
      <c r="M54" s="29"/>
    </row>
    <row r="58" spans="2:13" ht="21">
      <c r="C58" s="61" t="s">
        <v>122</v>
      </c>
      <c r="D58" s="61"/>
      <c r="E58" s="61"/>
      <c r="F58" s="61"/>
    </row>
    <row r="59" spans="2:13" ht="21">
      <c r="C59" s="61"/>
      <c r="D59" s="61"/>
      <c r="E59" s="61"/>
      <c r="F59" s="61"/>
    </row>
    <row r="60" spans="2:13" ht="21">
      <c r="C60" s="61"/>
      <c r="D60" s="61"/>
      <c r="E60" s="61"/>
      <c r="F60" s="61"/>
    </row>
    <row r="61" spans="2:13" ht="21">
      <c r="C61" s="61" t="s">
        <v>29</v>
      </c>
      <c r="D61" s="61"/>
      <c r="E61" s="61"/>
      <c r="F61" s="61"/>
    </row>
  </sheetData>
  <sheetCalcPr fullCalcOnLoad="1"/>
  <mergeCells count="80">
    <mergeCell ref="B1:O1"/>
    <mergeCell ref="B2:O2"/>
    <mergeCell ref="O4:O5"/>
    <mergeCell ref="C3:E3"/>
    <mergeCell ref="B4:B5"/>
    <mergeCell ref="C4:E5"/>
    <mergeCell ref="M4:M5"/>
    <mergeCell ref="B8:B9"/>
    <mergeCell ref="C8:E9"/>
    <mergeCell ref="M8:M9"/>
    <mergeCell ref="O8:O9"/>
    <mergeCell ref="B6:B7"/>
    <mergeCell ref="C6:E7"/>
    <mergeCell ref="M6:M7"/>
    <mergeCell ref="O6:O7"/>
    <mergeCell ref="O16:O17"/>
    <mergeCell ref="B10:B11"/>
    <mergeCell ref="C10:E11"/>
    <mergeCell ref="M10:M11"/>
    <mergeCell ref="O14:O15"/>
    <mergeCell ref="O10:O11"/>
    <mergeCell ref="B12:B13"/>
    <mergeCell ref="M12:M13"/>
    <mergeCell ref="O12:O13"/>
    <mergeCell ref="B14:B15"/>
    <mergeCell ref="C14:E15"/>
    <mergeCell ref="M14:M15"/>
    <mergeCell ref="C12:E13"/>
    <mergeCell ref="C22:E22"/>
    <mergeCell ref="H22:J22"/>
    <mergeCell ref="B21:K21"/>
    <mergeCell ref="M16:M17"/>
    <mergeCell ref="C38:E38"/>
    <mergeCell ref="H38:J38"/>
    <mergeCell ref="B31:K31"/>
    <mergeCell ref="C32:E32"/>
    <mergeCell ref="H32:J32"/>
    <mergeCell ref="C34:E34"/>
    <mergeCell ref="H34:J34"/>
    <mergeCell ref="B36:K36"/>
    <mergeCell ref="C33:E33"/>
    <mergeCell ref="H33:J33"/>
    <mergeCell ref="C23:E23"/>
    <mergeCell ref="H23:J23"/>
    <mergeCell ref="C27:E27"/>
    <mergeCell ref="H27:J27"/>
    <mergeCell ref="H28:J28"/>
    <mergeCell ref="C29:E29"/>
    <mergeCell ref="H29:J29"/>
    <mergeCell ref="C28:E28"/>
    <mergeCell ref="H44:J44"/>
    <mergeCell ref="B46:K46"/>
    <mergeCell ref="C47:E47"/>
    <mergeCell ref="C37:E37"/>
    <mergeCell ref="H37:J37"/>
    <mergeCell ref="B16:B17"/>
    <mergeCell ref="C16:E17"/>
    <mergeCell ref="C24:E24"/>
    <mergeCell ref="H24:J24"/>
    <mergeCell ref="B26:K26"/>
    <mergeCell ref="C43:E43"/>
    <mergeCell ref="H43:J43"/>
    <mergeCell ref="C53:E53"/>
    <mergeCell ref="H47:J47"/>
    <mergeCell ref="C39:E39"/>
    <mergeCell ref="H39:J39"/>
    <mergeCell ref="B41:K41"/>
    <mergeCell ref="C42:E42"/>
    <mergeCell ref="H42:J42"/>
    <mergeCell ref="C44:E44"/>
    <mergeCell ref="C54:E54"/>
    <mergeCell ref="H54:J54"/>
    <mergeCell ref="C48:E48"/>
    <mergeCell ref="H48:J48"/>
    <mergeCell ref="C49:E49"/>
    <mergeCell ref="H49:J49"/>
    <mergeCell ref="B51:K51"/>
    <mergeCell ref="C52:E52"/>
    <mergeCell ref="H52:J52"/>
    <mergeCell ref="H53:J53"/>
  </mergeCells>
  <phoneticPr fontId="9" type="noConversion"/>
  <printOptions horizontalCentered="1"/>
  <pageMargins left="0.31496062992125984" right="0.31496062992125984" top="0.35433070866141736" bottom="0.55118110236220474" header="0.31496062992125984" footer="0.31496062992125984"/>
  <pageSetup paperSize="9" scale="53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Кубок Группа А (муж)</vt:lpstr>
      <vt:lpstr>Кубок Группа В (муж)</vt:lpstr>
      <vt:lpstr>Кубок А (муж)</vt:lpstr>
      <vt:lpstr>Кубок В (муж)</vt:lpstr>
      <vt:lpstr>Кубок С (муж)</vt:lpstr>
      <vt:lpstr>Кубок Группа (жен)</vt:lpstr>
      <vt:lpstr>Кубок Плей-офф (жен)</vt:lpstr>
      <vt:lpstr>Чемпионат ВФБ Группа А (микст)</vt:lpstr>
      <vt:lpstr>Чемпионат ВФБ Группа В (микст)</vt:lpstr>
      <vt:lpstr>Чемпионат ВФБ Кубок А (микст)</vt:lpstr>
      <vt:lpstr>Чемпионат ВФБ Кубок В (микст)</vt:lpstr>
      <vt:lpstr>Чемпионат ВФБ Кубок С (микст)</vt:lpstr>
      <vt:lpstr>Итоги ГП России Кубок ВФБ муж</vt:lpstr>
      <vt:lpstr>Итоги ГП России Кубок ВФБ жен</vt:lpstr>
      <vt:lpstr>Итоги ГП России Чемпионат ВФБ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EMPEROR</cp:lastModifiedBy>
  <cp:lastPrinted>2024-06-20T22:17:02Z</cp:lastPrinted>
  <dcterms:created xsi:type="dcterms:W3CDTF">2009-05-19T09:37:33Z</dcterms:created>
  <dcterms:modified xsi:type="dcterms:W3CDTF">2024-06-22T11:32:30Z</dcterms:modified>
</cp:coreProperties>
</file>